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activeTab="5"/>
  </bookViews>
  <sheets>
    <sheet name="乌审旗" sheetId="1" r:id="rId1"/>
    <sheet name="鄂旗" sheetId="2" r:id="rId2"/>
    <sheet name="前旗" sheetId="3" r:id="rId3"/>
    <sheet name="杭锦旗" sheetId="4" r:id="rId4"/>
    <sheet name="棋盘井" sheetId="5" r:id="rId5"/>
    <sheet name="东供" sheetId="6" r:id="rId6"/>
    <sheet name="达旗" sheetId="7" r:id="rId7"/>
    <sheet name="伊旗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<sst xmlns="http://schemas.openxmlformats.org/spreadsheetml/2006/main" count="398" uniqueCount="82">
  <si>
    <t>附表五：乌审旗职工餐厅</t>
  </si>
  <si>
    <t>一、人员工资</t>
  </si>
  <si>
    <t>人 员 构 成</t>
  </si>
  <si>
    <t>月工资（元）</t>
  </si>
  <si>
    <t>数量（人）</t>
  </si>
  <si>
    <t>金额（元）/年</t>
  </si>
  <si>
    <t>蒙能（8个月）</t>
  </si>
  <si>
    <t>乌审旗（4个月）</t>
  </si>
  <si>
    <t>备 注</t>
  </si>
  <si>
    <t>厨师</t>
  </si>
  <si>
    <t>二灶</t>
  </si>
  <si>
    <t>+1000</t>
  </si>
  <si>
    <t>面案</t>
  </si>
  <si>
    <t>配菜</t>
  </si>
  <si>
    <t>+500</t>
  </si>
  <si>
    <t>库管</t>
  </si>
  <si>
    <t>洗碗打杂</t>
  </si>
  <si>
    <t>食材配送统计员</t>
  </si>
  <si>
    <t>4个月</t>
  </si>
  <si>
    <t>食材配送领班</t>
  </si>
  <si>
    <t>食材配送理货员</t>
  </si>
  <si>
    <t>收银兼领班</t>
  </si>
  <si>
    <t>服务员</t>
  </si>
  <si>
    <t>小     计</t>
  </si>
  <si>
    <t>二、保险费</t>
  </si>
  <si>
    <t>费用项目</t>
  </si>
  <si>
    <t>计 算 依 据</t>
  </si>
  <si>
    <t>备  注</t>
  </si>
  <si>
    <t>保险费</t>
  </si>
  <si>
    <t>最低社保标准×8人×12</t>
  </si>
  <si>
    <t>最低社保标准×4人×12</t>
  </si>
  <si>
    <t>保险费小计</t>
  </si>
  <si>
    <t>小    计</t>
  </si>
  <si>
    <t>福利费</t>
  </si>
  <si>
    <t>三、人员服装费</t>
  </si>
  <si>
    <t>蒙能（12个月）</t>
  </si>
  <si>
    <t>备     注</t>
  </si>
  <si>
    <t>服装费</t>
  </si>
  <si>
    <t>600元×人数×1套</t>
  </si>
  <si>
    <t>每人每年1套</t>
  </si>
  <si>
    <t>小   计</t>
  </si>
  <si>
    <t>四、管理费</t>
  </si>
  <si>
    <t>五、税金</t>
  </si>
  <si>
    <t>六、费用合计</t>
  </si>
  <si>
    <t>23年数据分局</t>
  </si>
  <si>
    <t>与23年差</t>
  </si>
  <si>
    <t>24年8家增加</t>
  </si>
  <si>
    <t>24年总合计</t>
  </si>
  <si>
    <t>24年预算</t>
  </si>
  <si>
    <t>24年差额</t>
  </si>
  <si>
    <t>附表六：鄂旗职工餐厅</t>
  </si>
  <si>
    <t>蒙能8个月</t>
  </si>
  <si>
    <t>鄂旗4个月</t>
  </si>
  <si>
    <t>最低社保标准×9人×12</t>
  </si>
  <si>
    <t>蒙能12个月</t>
  </si>
  <si>
    <t>附表七：鄂前旗职工餐厅</t>
  </si>
  <si>
    <t>鄂前旗4个月</t>
  </si>
  <si>
    <t>洗碗工</t>
  </si>
  <si>
    <t>餐厅收银兼领班</t>
  </si>
  <si>
    <t>面案副手</t>
  </si>
  <si>
    <t>最低社保标准×10人×12</t>
  </si>
  <si>
    <t>附表八：杭锦旗职工餐厅</t>
  </si>
  <si>
    <t>杭锦旗4个月</t>
  </si>
  <si>
    <t>+1500</t>
  </si>
  <si>
    <t>附表九：棋盘井职工餐厅</t>
  </si>
  <si>
    <t>棋盘井4个月</t>
  </si>
  <si>
    <t>+300</t>
  </si>
  <si>
    <t>9人</t>
  </si>
  <si>
    <t>最低社保标准×6人×12</t>
  </si>
  <si>
    <t>最低社保标准×3人×12</t>
  </si>
  <si>
    <t>附表一：东供职工餐厅</t>
  </si>
  <si>
    <t>领班</t>
  </si>
  <si>
    <t>统计员</t>
  </si>
  <si>
    <t>理货员</t>
  </si>
  <si>
    <t>最低社保标准×人数×13</t>
  </si>
  <si>
    <t>附表二：达旗职工餐厅</t>
  </si>
  <si>
    <t>二、保险费及福利费</t>
  </si>
  <si>
    <r>
      <rPr>
        <sz val="11"/>
        <rFont val="仿宋_GB2312"/>
        <charset val="134"/>
      </rPr>
      <t>最低社保标准</t>
    </r>
    <r>
      <rPr>
        <sz val="11"/>
        <rFont val="Calibri"/>
        <charset val="0"/>
      </rPr>
      <t>×</t>
    </r>
    <r>
      <rPr>
        <sz val="11"/>
        <rFont val="仿宋_GB2312"/>
        <charset val="134"/>
      </rPr>
      <t>人数</t>
    </r>
    <r>
      <rPr>
        <sz val="11"/>
        <rFont val="Calibri"/>
        <charset val="0"/>
      </rPr>
      <t>×</t>
    </r>
    <r>
      <rPr>
        <sz val="11"/>
        <rFont val="仿宋_GB2312"/>
        <charset val="134"/>
      </rPr>
      <t>12</t>
    </r>
  </si>
  <si>
    <t>工资总额×14%</t>
  </si>
  <si>
    <t>四、管理费（5%）</t>
  </si>
  <si>
    <t>附表三：伊旗职工餐厅</t>
  </si>
  <si>
    <t>最低社保标准×人数×12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</si>
</sst>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_);[Red]\(0\)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2"/>
      <color rgb="FFFF0000"/>
      <name val="宋体"/>
      <charset val="134"/>
    </font>
    <font>
      <b/>
      <sz val="14"/>
      <name val="仿宋_GB2312"/>
      <charset val="134"/>
    </font>
    <font>
      <b/>
      <sz val="11"/>
      <name val="仿宋_GB2312"/>
      <charset val="134"/>
    </font>
    <font>
      <sz val="11"/>
      <name val="仿宋_GB2312"/>
      <charset val="134"/>
    </font>
    <font>
      <b/>
      <sz val="11"/>
      <color rgb="FFFF0000"/>
      <name val="仿宋_GB2312"/>
      <charset val="134"/>
    </font>
    <font>
      <sz val="11"/>
      <color rgb="FFFF0000"/>
      <name val="仿宋_GB2312"/>
      <charset val="134"/>
    </font>
    <font>
      <sz val="18"/>
      <name val="宋体"/>
      <charset val="134"/>
    </font>
    <font>
      <sz val="16"/>
      <name val="宋体"/>
      <charset val="134"/>
    </font>
    <font>
      <sz val="14"/>
      <name val="仿宋_GB2312"/>
      <charset val="134"/>
    </font>
    <font>
      <sz val="14"/>
      <color indexed="10"/>
      <name val="仿宋_GB2312"/>
      <charset val="134"/>
    </font>
    <font>
      <sz val="8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6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/>
    </xf>
    <xf numFmtId="177" fontId="10" fillId="0" borderId="0" xfId="0" applyNumberFormat="1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76" fontId="6" fillId="2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vertical="center" wrapText="1"/>
    </xf>
    <xf numFmtId="176" fontId="6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zoomScale="175" zoomScaleNormal="175" workbookViewId="0">
      <selection activeCell="B11" sqref="B11"/>
    </sheetView>
  </sheetViews>
  <sheetFormatPr defaultColWidth="9" defaultRowHeight="18.9" customHeight="1"/>
  <cols>
    <col min="1" max="1" width="19.1018518518519" style="1" customWidth="1"/>
    <col min="2" max="2" width="13.3981481481481" style="1" customWidth="1"/>
    <col min="3" max="3" width="12" style="1" customWidth="1"/>
    <col min="4" max="4" width="15.7037037037037" style="1" customWidth="1"/>
    <col min="5" max="6" width="15.7037037037037" style="1" hidden="1" customWidth="1"/>
    <col min="7" max="7" width="18.8981481481481" style="1" hidden="1" customWidth="1"/>
    <col min="8" max="8" width="9" style="1"/>
    <col min="9" max="9" width="11.6018518518519" style="1"/>
    <col min="10" max="16384" width="9" style="1"/>
  </cols>
  <sheetData>
    <row r="1" s="1" customFormat="1" customHeight="1" spans="1:6">
      <c r="A1" s="4" t="s">
        <v>0</v>
      </c>
      <c r="B1" s="4"/>
      <c r="C1" s="4"/>
      <c r="D1" s="4"/>
      <c r="E1" s="4"/>
      <c r="F1" s="4"/>
    </row>
    <row r="2" s="1" customFormat="1" customHeight="1" spans="1:7">
      <c r="A2" s="14" t="s">
        <v>1</v>
      </c>
      <c r="B2" s="14"/>
      <c r="C2" s="14"/>
      <c r="D2" s="14"/>
      <c r="E2" s="14"/>
      <c r="F2" s="44"/>
      <c r="G2" s="44"/>
    </row>
    <row r="3" s="2" customFormat="1" customHeight="1" spans="1:7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6" t="s">
        <v>8</v>
      </c>
    </row>
    <row r="4" s="1" customFormat="1" customHeight="1" spans="1:7">
      <c r="A4" s="8" t="s">
        <v>9</v>
      </c>
      <c r="B4" s="9">
        <v>6500</v>
      </c>
      <c r="C4" s="8">
        <v>1</v>
      </c>
      <c r="D4" s="9">
        <f t="shared" ref="D4:D14" si="0">B4*C4*12</f>
        <v>78000</v>
      </c>
      <c r="E4" s="9">
        <f t="shared" ref="E4:E9" si="1">B4*C4*8</f>
        <v>52000</v>
      </c>
      <c r="F4" s="9">
        <f t="shared" ref="F4:F9" si="2">B4*C4*4</f>
        <v>26000</v>
      </c>
      <c r="G4" s="10"/>
    </row>
    <row r="5" s="1" customFormat="1" customHeight="1" spans="1:7">
      <c r="A5" s="8" t="s">
        <v>10</v>
      </c>
      <c r="B5" s="9">
        <v>5000</v>
      </c>
      <c r="C5" s="8">
        <v>1</v>
      </c>
      <c r="D5" s="9">
        <f t="shared" si="0"/>
        <v>60000</v>
      </c>
      <c r="E5" s="9">
        <f t="shared" si="1"/>
        <v>40000</v>
      </c>
      <c r="F5" s="9">
        <f t="shared" si="2"/>
        <v>20000</v>
      </c>
      <c r="G5" s="10" t="s">
        <v>11</v>
      </c>
    </row>
    <row r="6" s="1" customFormat="1" customHeight="1" spans="1:7">
      <c r="A6" s="8" t="s">
        <v>12</v>
      </c>
      <c r="B6" s="9">
        <v>5000</v>
      </c>
      <c r="C6" s="8">
        <v>1</v>
      </c>
      <c r="D6" s="9">
        <f t="shared" si="0"/>
        <v>60000</v>
      </c>
      <c r="E6" s="9">
        <f t="shared" si="1"/>
        <v>40000</v>
      </c>
      <c r="F6" s="9">
        <f t="shared" si="2"/>
        <v>20000</v>
      </c>
      <c r="G6" s="10" t="s">
        <v>11</v>
      </c>
    </row>
    <row r="7" s="1" customFormat="1" customHeight="1" spans="1:7">
      <c r="A7" s="8" t="s">
        <v>13</v>
      </c>
      <c r="B7" s="9">
        <v>4000</v>
      </c>
      <c r="C7" s="8">
        <v>1</v>
      </c>
      <c r="D7" s="9">
        <f t="shared" si="0"/>
        <v>48000</v>
      </c>
      <c r="E7" s="9">
        <f t="shared" si="1"/>
        <v>32000</v>
      </c>
      <c r="F7" s="9">
        <f t="shared" si="2"/>
        <v>16000</v>
      </c>
      <c r="G7" s="10" t="s">
        <v>14</v>
      </c>
    </row>
    <row r="8" s="1" customFormat="1" customHeight="1" spans="1:7">
      <c r="A8" s="8" t="s">
        <v>15</v>
      </c>
      <c r="B8" s="9">
        <v>4000</v>
      </c>
      <c r="C8" s="8">
        <v>1</v>
      </c>
      <c r="D8" s="9">
        <f t="shared" si="0"/>
        <v>48000</v>
      </c>
      <c r="E8" s="9">
        <f t="shared" si="1"/>
        <v>32000</v>
      </c>
      <c r="F8" s="9">
        <f t="shared" si="2"/>
        <v>16000</v>
      </c>
      <c r="G8" s="10" t="s">
        <v>11</v>
      </c>
    </row>
    <row r="9" s="1" customFormat="1" customHeight="1" spans="1:7">
      <c r="A9" s="8" t="s">
        <v>16</v>
      </c>
      <c r="B9" s="9">
        <v>3000</v>
      </c>
      <c r="C9" s="8">
        <v>1</v>
      </c>
      <c r="D9" s="9">
        <f t="shared" si="0"/>
        <v>36000</v>
      </c>
      <c r="E9" s="9">
        <f t="shared" si="1"/>
        <v>24000</v>
      </c>
      <c r="F9" s="9">
        <f t="shared" si="2"/>
        <v>12000</v>
      </c>
      <c r="G9" s="10"/>
    </row>
    <row r="10" s="1" customFormat="1" customHeight="1" spans="1:7">
      <c r="A10" s="8" t="s">
        <v>17</v>
      </c>
      <c r="B10" s="9">
        <v>4000</v>
      </c>
      <c r="C10" s="8">
        <v>1</v>
      </c>
      <c r="D10" s="9">
        <f t="shared" si="0"/>
        <v>48000</v>
      </c>
      <c r="E10" s="9"/>
      <c r="F10" s="50">
        <v>16000</v>
      </c>
      <c r="G10" s="51" t="s">
        <v>18</v>
      </c>
    </row>
    <row r="11" s="1" customFormat="1" customHeight="1" spans="1:7">
      <c r="A11" s="8" t="s">
        <v>19</v>
      </c>
      <c r="B11" s="9">
        <v>4500</v>
      </c>
      <c r="C11" s="8">
        <v>1</v>
      </c>
      <c r="D11" s="9">
        <f t="shared" si="0"/>
        <v>54000</v>
      </c>
      <c r="E11" s="9"/>
      <c r="F11" s="50">
        <v>18000</v>
      </c>
      <c r="G11" s="51" t="s">
        <v>18</v>
      </c>
    </row>
    <row r="12" s="1" customFormat="1" customHeight="1" spans="1:7">
      <c r="A12" s="8" t="s">
        <v>20</v>
      </c>
      <c r="B12" s="9">
        <v>4000</v>
      </c>
      <c r="C12" s="8">
        <v>2</v>
      </c>
      <c r="D12" s="9">
        <f t="shared" si="0"/>
        <v>96000</v>
      </c>
      <c r="E12" s="9"/>
      <c r="F12" s="50">
        <v>32000</v>
      </c>
      <c r="G12" s="51" t="s">
        <v>18</v>
      </c>
    </row>
    <row r="13" s="1" customFormat="1" customHeight="1" spans="1:7">
      <c r="A13" s="8" t="s">
        <v>21</v>
      </c>
      <c r="B13" s="9">
        <v>4000</v>
      </c>
      <c r="C13" s="8">
        <v>1</v>
      </c>
      <c r="D13" s="9">
        <f t="shared" si="0"/>
        <v>48000</v>
      </c>
      <c r="E13" s="9">
        <f>B13*C13*8</f>
        <v>32000</v>
      </c>
      <c r="F13" s="9">
        <f>B13*C13*4</f>
        <v>16000</v>
      </c>
      <c r="G13" s="10" t="s">
        <v>11</v>
      </c>
    </row>
    <row r="14" s="1" customFormat="1" customHeight="1" spans="1:9">
      <c r="A14" s="8" t="s">
        <v>22</v>
      </c>
      <c r="B14" s="9">
        <v>3000</v>
      </c>
      <c r="C14" s="8">
        <v>1</v>
      </c>
      <c r="D14" s="9">
        <f t="shared" si="0"/>
        <v>36000</v>
      </c>
      <c r="E14" s="9">
        <f>B14*C14*8</f>
        <v>24000</v>
      </c>
      <c r="F14" s="9">
        <f>B14*C14*4</f>
        <v>12000</v>
      </c>
      <c r="G14" s="10"/>
      <c r="I14" s="11"/>
    </row>
    <row r="15" s="1" customFormat="1" customHeight="1" spans="1:7">
      <c r="A15" s="12" t="s">
        <v>23</v>
      </c>
      <c r="B15" s="13"/>
      <c r="C15" s="8">
        <f t="shared" ref="C15:F15" si="3">SUM(C4:C14)</f>
        <v>12</v>
      </c>
      <c r="D15" s="9">
        <f t="shared" si="3"/>
        <v>612000</v>
      </c>
      <c r="E15" s="9">
        <f t="shared" si="3"/>
        <v>276000</v>
      </c>
      <c r="F15" s="9">
        <f t="shared" si="3"/>
        <v>204000</v>
      </c>
      <c r="G15" s="10"/>
    </row>
    <row r="16" s="1" customFormat="1" customHeight="1" spans="1:7">
      <c r="A16" s="46" t="s">
        <v>24</v>
      </c>
      <c r="B16" s="47"/>
      <c r="C16" s="47"/>
      <c r="D16" s="47"/>
      <c r="E16" s="48"/>
      <c r="F16" s="44"/>
      <c r="G16" s="44"/>
    </row>
    <row r="17" s="1" customFormat="1" customHeight="1" spans="1:7">
      <c r="A17" s="14" t="s">
        <v>25</v>
      </c>
      <c r="B17" s="14" t="s">
        <v>26</v>
      </c>
      <c r="C17" s="14"/>
      <c r="D17" s="15" t="s">
        <v>5</v>
      </c>
      <c r="E17" s="7" t="s">
        <v>6</v>
      </c>
      <c r="F17" s="7" t="s">
        <v>7</v>
      </c>
      <c r="G17" s="14" t="s">
        <v>27</v>
      </c>
    </row>
    <row r="18" s="1" customFormat="1" customHeight="1" spans="1:7">
      <c r="A18" s="42" t="s">
        <v>28</v>
      </c>
      <c r="B18" s="8" t="s">
        <v>29</v>
      </c>
      <c r="C18" s="8"/>
      <c r="D18" s="16">
        <f>1038.38*8*12</f>
        <v>99684.48</v>
      </c>
      <c r="E18" s="18">
        <f>912*8*8</f>
        <v>58368</v>
      </c>
      <c r="F18" s="18">
        <f>912*8*4</f>
        <v>29184</v>
      </c>
      <c r="G18" s="8"/>
    </row>
    <row r="19" s="1" customFormat="1" customHeight="1" spans="1:7">
      <c r="A19" s="38"/>
      <c r="B19" s="8" t="s">
        <v>30</v>
      </c>
      <c r="C19" s="8"/>
      <c r="D19" s="16">
        <f>1038.38*4*12</f>
        <v>49842.24</v>
      </c>
      <c r="E19" s="18"/>
      <c r="F19" s="16">
        <f>912*4*4</f>
        <v>14592</v>
      </c>
      <c r="G19" s="8"/>
    </row>
    <row r="20" s="2" customFormat="1" customHeight="1" spans="1:7">
      <c r="A20" s="8" t="s">
        <v>31</v>
      </c>
      <c r="B20" s="12"/>
      <c r="C20" s="13"/>
      <c r="D20" s="16">
        <f>D18+D19</f>
        <v>149526.72</v>
      </c>
      <c r="E20" s="18">
        <f>SUM(E18:E19)</f>
        <v>58368</v>
      </c>
      <c r="F20" s="18">
        <f>SUM(F18:F19)</f>
        <v>43776</v>
      </c>
      <c r="G20" s="8"/>
    </row>
    <row r="21" s="1" customFormat="1" customHeight="1" spans="1:7">
      <c r="A21" s="8" t="s">
        <v>32</v>
      </c>
      <c r="B21" s="8"/>
      <c r="C21" s="8"/>
      <c r="D21" s="18">
        <f t="shared" ref="D21:F21" si="4">D20</f>
        <v>149526.72</v>
      </c>
      <c r="E21" s="18">
        <f t="shared" si="4"/>
        <v>58368</v>
      </c>
      <c r="F21" s="18">
        <f t="shared" si="4"/>
        <v>43776</v>
      </c>
      <c r="G21" s="8"/>
    </row>
    <row r="22" s="1" customFormat="1" customHeight="1" spans="1:7">
      <c r="A22" s="8" t="s">
        <v>33</v>
      </c>
      <c r="B22" s="12"/>
      <c r="C22" s="13"/>
      <c r="D22" s="18">
        <f>(D4+D5+D6+D7+D8+D9+D13+D14)*0.14</f>
        <v>57960</v>
      </c>
      <c r="E22" s="39"/>
      <c r="F22" s="18"/>
      <c r="G22" s="8"/>
    </row>
    <row r="23" s="1" customFormat="1" customHeight="1" spans="1:7">
      <c r="A23" s="46" t="s">
        <v>34</v>
      </c>
      <c r="B23" s="47"/>
      <c r="C23" s="47"/>
      <c r="D23" s="47"/>
      <c r="E23" s="48"/>
      <c r="F23" s="44"/>
      <c r="G23" s="44"/>
    </row>
    <row r="24" s="1" customFormat="1" customHeight="1" spans="1:7">
      <c r="A24" s="14" t="s">
        <v>25</v>
      </c>
      <c r="B24" s="14" t="s">
        <v>26</v>
      </c>
      <c r="C24" s="14"/>
      <c r="D24" s="15" t="s">
        <v>5</v>
      </c>
      <c r="E24" s="15" t="s">
        <v>35</v>
      </c>
      <c r="F24" s="15"/>
      <c r="G24" s="14" t="s">
        <v>36</v>
      </c>
    </row>
    <row r="25" s="1" customFormat="1" customHeight="1" spans="1:7">
      <c r="A25" s="8" t="s">
        <v>37</v>
      </c>
      <c r="B25" s="8" t="s">
        <v>38</v>
      </c>
      <c r="C25" s="8"/>
      <c r="D25" s="9">
        <f>600*C15*1</f>
        <v>7200</v>
      </c>
      <c r="E25" s="9">
        <v>7200</v>
      </c>
      <c r="F25" s="9"/>
      <c r="G25" s="8" t="s">
        <v>39</v>
      </c>
    </row>
    <row r="26" s="1" customFormat="1" customHeight="1" spans="1:7">
      <c r="A26" s="12" t="s">
        <v>40</v>
      </c>
      <c r="B26" s="20"/>
      <c r="C26" s="13"/>
      <c r="D26" s="9">
        <f>SUM(D25:D25)</f>
        <v>7200</v>
      </c>
      <c r="E26" s="9">
        <f>SUM(E25:E25)</f>
        <v>7200</v>
      </c>
      <c r="F26" s="9"/>
      <c r="G26" s="8"/>
    </row>
    <row r="27" s="1" customFormat="1" customHeight="1" spans="1:7">
      <c r="A27" s="26"/>
      <c r="B27" s="27"/>
      <c r="C27" s="28"/>
      <c r="D27" s="50"/>
      <c r="E27" s="50"/>
      <c r="F27" s="50"/>
      <c r="G27" s="8"/>
    </row>
    <row r="28" s="1" customFormat="1" customHeight="1" spans="1:7">
      <c r="A28" s="26" t="s">
        <v>41</v>
      </c>
      <c r="B28" s="27"/>
      <c r="C28" s="28"/>
      <c r="D28" s="9">
        <f>(D15+D21+D26+D22)*5%</f>
        <v>41334.336</v>
      </c>
      <c r="E28" s="9">
        <f t="shared" ref="D28:F28" si="5">(E15+E21+E26)*10%</f>
        <v>34156.8</v>
      </c>
      <c r="F28" s="9">
        <f t="shared" si="5"/>
        <v>24777.6</v>
      </c>
      <c r="G28" s="8"/>
    </row>
    <row r="29" s="1" customFormat="1" customHeight="1" spans="1:7">
      <c r="A29" s="26" t="s">
        <v>42</v>
      </c>
      <c r="B29" s="27"/>
      <c r="C29" s="28"/>
      <c r="D29" s="9">
        <f>(D15+D21+D26+D27+D28+D22)*6%</f>
        <v>52081.26336</v>
      </c>
      <c r="E29" s="9">
        <f t="shared" ref="D29:F29" si="6">(E15+E21+E26+E27+E28)*6%</f>
        <v>22543.488</v>
      </c>
      <c r="F29" s="9">
        <f t="shared" si="6"/>
        <v>16353.216</v>
      </c>
      <c r="G29" s="8"/>
    </row>
    <row r="30" s="1" customFormat="1" customHeight="1" spans="1:7">
      <c r="A30" s="26" t="s">
        <v>43</v>
      </c>
      <c r="B30" s="27"/>
      <c r="C30" s="28"/>
      <c r="D30" s="9">
        <f>D15+D21+D26+D27+D28+D29+D22</f>
        <v>920102.31936</v>
      </c>
      <c r="E30" s="9">
        <f t="shared" ref="D30:F30" si="7">E15+E21+E26+E27+E28+E29</f>
        <v>398268.288</v>
      </c>
      <c r="F30" s="9">
        <f t="shared" si="7"/>
        <v>288906.816</v>
      </c>
      <c r="G30" s="8"/>
    </row>
    <row r="31" customHeight="1" spans="3:4">
      <c r="C31" s="52" t="s">
        <v>44</v>
      </c>
      <c r="D31" s="1">
        <v>865889.32</v>
      </c>
    </row>
    <row r="32" customHeight="1" spans="3:4">
      <c r="C32" s="1" t="s">
        <v>45</v>
      </c>
      <c r="D32" s="1">
        <f>D30-D31</f>
        <v>54212.99936</v>
      </c>
    </row>
    <row r="33" customHeight="1" spans="3:4">
      <c r="C33" s="53" t="s">
        <v>46</v>
      </c>
      <c r="D33" s="1">
        <f>D32+鄂旗!D32+前旗!D33+杭锦旗!D32+棋盘井!D31+东供!D31+达旗!A31+伊旗!D31</f>
        <v>489972.65616</v>
      </c>
    </row>
    <row r="34" customHeight="1" spans="3:4">
      <c r="C34" s="1" t="s">
        <v>47</v>
      </c>
      <c r="D34" s="1">
        <f>D30+鄂旗!D30+前旗!D31+杭锦旗!D30+棋盘井!D29+东供!D29+达旗!D29+伊旗!D29</f>
        <v>7419670.16616</v>
      </c>
    </row>
    <row r="35" customHeight="1" spans="3:4">
      <c r="C35" s="1" t="s">
        <v>48</v>
      </c>
      <c r="D35" s="1">
        <v>7616312.22</v>
      </c>
    </row>
    <row r="36" customHeight="1" spans="3:4">
      <c r="C36" s="1" t="s">
        <v>49</v>
      </c>
      <c r="D36" s="1">
        <f>D34-D35</f>
        <v>-196642.05384</v>
      </c>
    </row>
  </sheetData>
  <mergeCells count="18">
    <mergeCell ref="A1:D1"/>
    <mergeCell ref="A2:E2"/>
    <mergeCell ref="A15:B15"/>
    <mergeCell ref="A16:E16"/>
    <mergeCell ref="B17:C17"/>
    <mergeCell ref="B18:C18"/>
    <mergeCell ref="B19:C19"/>
    <mergeCell ref="B20:C20"/>
    <mergeCell ref="A21:C21"/>
    <mergeCell ref="B22:C22"/>
    <mergeCell ref="A23:E23"/>
    <mergeCell ref="B24:C24"/>
    <mergeCell ref="B25:C25"/>
    <mergeCell ref="A26:C26"/>
    <mergeCell ref="A27:C27"/>
    <mergeCell ref="A28:C28"/>
    <mergeCell ref="A30:C30"/>
    <mergeCell ref="A18:A19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zoomScale="175" zoomScaleNormal="175" topLeftCell="A23" workbookViewId="0">
      <selection activeCell="B14" sqref="B14"/>
    </sheetView>
  </sheetViews>
  <sheetFormatPr defaultColWidth="9" defaultRowHeight="18.9" customHeight="1"/>
  <cols>
    <col min="1" max="1" width="19.1018518518519" style="1" customWidth="1"/>
    <col min="2" max="2" width="13.3981481481481" style="1" customWidth="1"/>
    <col min="3" max="3" width="12" style="1" customWidth="1"/>
    <col min="4" max="4" width="15.7037037037037" style="1" customWidth="1"/>
    <col min="5" max="6" width="15.7037037037037" style="1" hidden="1" customWidth="1"/>
    <col min="7" max="7" width="18.8981481481481" style="1" hidden="1" customWidth="1"/>
    <col min="8" max="8" width="9" style="1"/>
    <col min="9" max="9" width="11.6018518518519" style="1"/>
    <col min="10" max="16384" width="9" style="1"/>
  </cols>
  <sheetData>
    <row r="1" s="1" customFormat="1" customHeight="1" spans="1:6">
      <c r="A1" s="4" t="s">
        <v>50</v>
      </c>
      <c r="B1" s="4"/>
      <c r="C1" s="4"/>
      <c r="D1" s="4"/>
      <c r="E1" s="4"/>
      <c r="F1" s="4"/>
    </row>
    <row r="2" s="1" customFormat="1" customHeight="1" spans="1:7">
      <c r="A2" s="46" t="s">
        <v>1</v>
      </c>
      <c r="B2" s="47"/>
      <c r="C2" s="47"/>
      <c r="D2" s="47"/>
      <c r="E2" s="48"/>
      <c r="F2" s="44"/>
      <c r="G2" s="44"/>
    </row>
    <row r="3" s="2" customFormat="1" customHeight="1" spans="1:7">
      <c r="A3" s="6" t="s">
        <v>2</v>
      </c>
      <c r="B3" s="6" t="s">
        <v>3</v>
      </c>
      <c r="C3" s="6" t="s">
        <v>4</v>
      </c>
      <c r="D3" s="7" t="s">
        <v>5</v>
      </c>
      <c r="E3" s="7" t="s">
        <v>51</v>
      </c>
      <c r="F3" s="7" t="s">
        <v>52</v>
      </c>
      <c r="G3" s="6" t="s">
        <v>8</v>
      </c>
    </row>
    <row r="4" s="1" customFormat="1" customHeight="1" spans="1:7">
      <c r="A4" s="8" t="s">
        <v>9</v>
      </c>
      <c r="B4" s="9">
        <v>6000</v>
      </c>
      <c r="C4" s="8">
        <v>1</v>
      </c>
      <c r="D4" s="9">
        <f t="shared" ref="D4:D14" si="0">B4*C4*12</f>
        <v>72000</v>
      </c>
      <c r="E4" s="9">
        <f t="shared" ref="E4:E9" si="1">B4*C4*8</f>
        <v>48000</v>
      </c>
      <c r="F4" s="9">
        <f t="shared" ref="F4:F9" si="2">B4*C4*4</f>
        <v>24000</v>
      </c>
      <c r="G4" s="10"/>
    </row>
    <row r="5" s="1" customFormat="1" customHeight="1" spans="1:7">
      <c r="A5" s="8" t="s">
        <v>10</v>
      </c>
      <c r="B5" s="9">
        <v>5000</v>
      </c>
      <c r="C5" s="8">
        <v>1</v>
      </c>
      <c r="D5" s="9">
        <f t="shared" si="0"/>
        <v>60000</v>
      </c>
      <c r="E5" s="9">
        <f t="shared" si="1"/>
        <v>40000</v>
      </c>
      <c r="F5" s="9">
        <f t="shared" si="2"/>
        <v>20000</v>
      </c>
      <c r="G5" s="10" t="s">
        <v>14</v>
      </c>
    </row>
    <row r="6" s="1" customFormat="1" customHeight="1" spans="1:7">
      <c r="A6" s="8" t="s">
        <v>12</v>
      </c>
      <c r="B6" s="9">
        <v>5000</v>
      </c>
      <c r="C6" s="8">
        <v>1</v>
      </c>
      <c r="D6" s="9">
        <f t="shared" si="0"/>
        <v>60000</v>
      </c>
      <c r="E6" s="9">
        <f t="shared" si="1"/>
        <v>40000</v>
      </c>
      <c r="F6" s="9">
        <f t="shared" si="2"/>
        <v>20000</v>
      </c>
      <c r="G6" s="10" t="s">
        <v>11</v>
      </c>
    </row>
    <row r="7" s="1" customFormat="1" customHeight="1" spans="1:7">
      <c r="A7" s="8" t="s">
        <v>13</v>
      </c>
      <c r="B7" s="9">
        <v>4500</v>
      </c>
      <c r="C7" s="8">
        <v>1</v>
      </c>
      <c r="D7" s="9">
        <f t="shared" si="0"/>
        <v>54000</v>
      </c>
      <c r="E7" s="9">
        <f t="shared" si="1"/>
        <v>36000</v>
      </c>
      <c r="F7" s="9">
        <f t="shared" si="2"/>
        <v>18000</v>
      </c>
      <c r="G7" s="10" t="s">
        <v>14</v>
      </c>
    </row>
    <row r="8" s="1" customFormat="1" customHeight="1" spans="1:7">
      <c r="A8" s="12" t="s">
        <v>15</v>
      </c>
      <c r="B8" s="9">
        <v>4000</v>
      </c>
      <c r="C8" s="8">
        <v>1</v>
      </c>
      <c r="D8" s="9">
        <f t="shared" si="0"/>
        <v>48000</v>
      </c>
      <c r="E8" s="9">
        <f t="shared" si="1"/>
        <v>32000</v>
      </c>
      <c r="F8" s="9">
        <f t="shared" si="2"/>
        <v>16000</v>
      </c>
      <c r="G8" s="10"/>
    </row>
    <row r="9" s="1" customFormat="1" customHeight="1" spans="1:9">
      <c r="A9" s="8" t="s">
        <v>16</v>
      </c>
      <c r="B9" s="9">
        <v>3000</v>
      </c>
      <c r="C9" s="8">
        <v>2</v>
      </c>
      <c r="D9" s="9">
        <f t="shared" si="0"/>
        <v>72000</v>
      </c>
      <c r="E9" s="9">
        <f t="shared" si="1"/>
        <v>48000</v>
      </c>
      <c r="F9" s="9">
        <f t="shared" si="2"/>
        <v>24000</v>
      </c>
      <c r="G9" s="10"/>
      <c r="I9" s="11"/>
    </row>
    <row r="10" s="1" customFormat="1" customHeight="1" spans="1:9">
      <c r="A10" s="8" t="s">
        <v>19</v>
      </c>
      <c r="B10" s="9">
        <v>4500</v>
      </c>
      <c r="C10" s="8">
        <v>1</v>
      </c>
      <c r="D10" s="9">
        <f t="shared" si="0"/>
        <v>54000</v>
      </c>
      <c r="E10" s="9"/>
      <c r="F10" s="9">
        <v>18000</v>
      </c>
      <c r="G10" s="10" t="s">
        <v>18</v>
      </c>
      <c r="I10" s="11"/>
    </row>
    <row r="11" s="1" customFormat="1" customHeight="1" spans="1:9">
      <c r="A11" s="8" t="s">
        <v>17</v>
      </c>
      <c r="B11" s="9">
        <v>4000</v>
      </c>
      <c r="C11" s="8">
        <v>1</v>
      </c>
      <c r="D11" s="9">
        <f t="shared" si="0"/>
        <v>48000</v>
      </c>
      <c r="E11" s="9"/>
      <c r="F11" s="9">
        <v>16000</v>
      </c>
      <c r="G11" s="10" t="s">
        <v>18</v>
      </c>
      <c r="I11" s="11"/>
    </row>
    <row r="12" s="1" customFormat="1" customHeight="1" spans="1:9">
      <c r="A12" s="8" t="s">
        <v>20</v>
      </c>
      <c r="B12" s="9">
        <v>4000</v>
      </c>
      <c r="C12" s="8">
        <v>2</v>
      </c>
      <c r="D12" s="9">
        <f t="shared" si="0"/>
        <v>96000</v>
      </c>
      <c r="E12" s="9"/>
      <c r="F12" s="9">
        <v>32000</v>
      </c>
      <c r="G12" s="10" t="s">
        <v>18</v>
      </c>
      <c r="I12" s="11"/>
    </row>
    <row r="13" s="1" customFormat="1" customHeight="1" spans="1:9">
      <c r="A13" s="8" t="s">
        <v>21</v>
      </c>
      <c r="B13" s="9">
        <v>4000</v>
      </c>
      <c r="C13" s="8">
        <v>1</v>
      </c>
      <c r="D13" s="9">
        <f t="shared" si="0"/>
        <v>48000</v>
      </c>
      <c r="E13" s="9">
        <f>B13*C13*8</f>
        <v>32000</v>
      </c>
      <c r="F13" s="9">
        <f>B13*C13*4</f>
        <v>16000</v>
      </c>
      <c r="G13" s="10" t="s">
        <v>11</v>
      </c>
      <c r="I13" s="11"/>
    </row>
    <row r="14" s="1" customFormat="1" customHeight="1" spans="1:9">
      <c r="A14" s="8" t="s">
        <v>22</v>
      </c>
      <c r="B14" s="9">
        <v>3000</v>
      </c>
      <c r="C14" s="8">
        <v>1</v>
      </c>
      <c r="D14" s="9">
        <f t="shared" si="0"/>
        <v>36000</v>
      </c>
      <c r="E14" s="9">
        <f>B14*C14*8</f>
        <v>24000</v>
      </c>
      <c r="F14" s="9">
        <f>B14*C14*4</f>
        <v>12000</v>
      </c>
      <c r="G14" s="10"/>
      <c r="I14" s="11"/>
    </row>
    <row r="15" s="1" customFormat="1" customHeight="1" spans="1:7">
      <c r="A15" s="12" t="s">
        <v>23</v>
      </c>
      <c r="B15" s="13"/>
      <c r="C15" s="8">
        <f t="shared" ref="C15:F15" si="3">SUM(C4:C14)</f>
        <v>13</v>
      </c>
      <c r="D15" s="9">
        <f t="shared" si="3"/>
        <v>648000</v>
      </c>
      <c r="E15" s="9">
        <f t="shared" si="3"/>
        <v>300000</v>
      </c>
      <c r="F15" s="9">
        <f t="shared" si="3"/>
        <v>216000</v>
      </c>
      <c r="G15" s="10"/>
    </row>
    <row r="16" s="1" customFormat="1" customHeight="1" spans="1:7">
      <c r="A16" s="46" t="s">
        <v>24</v>
      </c>
      <c r="B16" s="47"/>
      <c r="C16" s="47"/>
      <c r="D16" s="47"/>
      <c r="E16" s="48"/>
      <c r="F16" s="44"/>
      <c r="G16" s="44"/>
    </row>
    <row r="17" s="1" customFormat="1" customHeight="1" spans="1:7">
      <c r="A17" s="14" t="s">
        <v>25</v>
      </c>
      <c r="B17" s="14" t="s">
        <v>26</v>
      </c>
      <c r="C17" s="14"/>
      <c r="D17" s="15" t="s">
        <v>5</v>
      </c>
      <c r="E17" s="7" t="s">
        <v>51</v>
      </c>
      <c r="F17" s="7" t="s">
        <v>52</v>
      </c>
      <c r="G17" s="14" t="s">
        <v>27</v>
      </c>
    </row>
    <row r="18" s="1" customFormat="1" customHeight="1" spans="1:7">
      <c r="A18" s="42" t="s">
        <v>28</v>
      </c>
      <c r="B18" s="8" t="s">
        <v>53</v>
      </c>
      <c r="C18" s="8"/>
      <c r="D18" s="16">
        <f>1038.38*9*12</f>
        <v>112145.04</v>
      </c>
      <c r="E18" s="18">
        <f>912*9*8</f>
        <v>65664</v>
      </c>
      <c r="F18" s="18">
        <f>912*9*4</f>
        <v>32832</v>
      </c>
      <c r="G18" s="38"/>
    </row>
    <row r="19" s="1" customFormat="1" customHeight="1" spans="1:7">
      <c r="A19" s="38"/>
      <c r="B19" s="8" t="s">
        <v>30</v>
      </c>
      <c r="C19" s="8"/>
      <c r="D19" s="16">
        <f>1038.38*4*12</f>
        <v>49842.24</v>
      </c>
      <c r="E19" s="18"/>
      <c r="F19" s="18">
        <v>14592</v>
      </c>
      <c r="G19" s="38"/>
    </row>
    <row r="20" s="2" customFormat="1" customHeight="1" spans="1:7">
      <c r="A20" s="8" t="s">
        <v>31</v>
      </c>
      <c r="B20" s="12"/>
      <c r="C20" s="13"/>
      <c r="D20" s="16">
        <f t="shared" ref="D20:F20" si="4">SUM(D18:D19)</f>
        <v>161987.28</v>
      </c>
      <c r="E20" s="18">
        <f t="shared" si="4"/>
        <v>65664</v>
      </c>
      <c r="F20" s="18">
        <f t="shared" si="4"/>
        <v>47424</v>
      </c>
      <c r="G20" s="17"/>
    </row>
    <row r="21" s="1" customFormat="1" customHeight="1" spans="1:7">
      <c r="A21" s="8" t="s">
        <v>32</v>
      </c>
      <c r="B21" s="8"/>
      <c r="C21" s="8"/>
      <c r="D21" s="18">
        <f t="shared" ref="D21:F21" si="5">D20</f>
        <v>161987.28</v>
      </c>
      <c r="E21" s="18">
        <f t="shared" si="5"/>
        <v>65664</v>
      </c>
      <c r="F21" s="18">
        <f t="shared" si="5"/>
        <v>47424</v>
      </c>
      <c r="G21" s="8"/>
    </row>
    <row r="22" s="1" customFormat="1" customHeight="1" spans="1:7">
      <c r="A22" s="8" t="s">
        <v>33</v>
      </c>
      <c r="B22" s="12"/>
      <c r="C22" s="13"/>
      <c r="D22" s="18">
        <f>(D4+D5+D6+D7+D8+D13+D14+D9)*0.14</f>
        <v>63000</v>
      </c>
      <c r="E22" s="39"/>
      <c r="F22" s="18"/>
      <c r="G22" s="8"/>
    </row>
    <row r="23" s="1" customFormat="1" customHeight="1" spans="1:7">
      <c r="A23" s="46" t="s">
        <v>34</v>
      </c>
      <c r="B23" s="47"/>
      <c r="C23" s="47"/>
      <c r="D23" s="47"/>
      <c r="E23" s="48"/>
      <c r="F23" s="44"/>
      <c r="G23" s="44"/>
    </row>
    <row r="24" s="1" customFormat="1" customHeight="1" spans="1:7">
      <c r="A24" s="14" t="s">
        <v>25</v>
      </c>
      <c r="B24" s="14" t="s">
        <v>26</v>
      </c>
      <c r="C24" s="14"/>
      <c r="D24" s="15" t="s">
        <v>5</v>
      </c>
      <c r="E24" s="7" t="s">
        <v>54</v>
      </c>
      <c r="F24" s="15"/>
      <c r="G24" s="14" t="s">
        <v>36</v>
      </c>
    </row>
    <row r="25" s="1" customFormat="1" customHeight="1" spans="1:7">
      <c r="A25" s="8" t="s">
        <v>37</v>
      </c>
      <c r="B25" s="8" t="s">
        <v>38</v>
      </c>
      <c r="C25" s="8"/>
      <c r="D25" s="9">
        <f>600*C15*1</f>
        <v>7800</v>
      </c>
      <c r="E25" s="9">
        <v>7800</v>
      </c>
      <c r="F25" s="9"/>
      <c r="G25" s="8" t="s">
        <v>39</v>
      </c>
    </row>
    <row r="26" s="1" customFormat="1" customHeight="1" spans="1:7">
      <c r="A26" s="12" t="s">
        <v>40</v>
      </c>
      <c r="B26" s="20"/>
      <c r="C26" s="13"/>
      <c r="D26" s="9">
        <f>SUM(D25:D25)</f>
        <v>7800</v>
      </c>
      <c r="E26" s="9">
        <f>SUM(E25:E25)</f>
        <v>7800</v>
      </c>
      <c r="F26" s="9"/>
      <c r="G26" s="8"/>
    </row>
    <row r="27" s="1" customFormat="1" customHeight="1" spans="1:7">
      <c r="A27" s="26"/>
      <c r="B27" s="27"/>
      <c r="C27" s="28"/>
      <c r="D27" s="9"/>
      <c r="E27" s="9"/>
      <c r="F27" s="9"/>
      <c r="G27" s="8"/>
    </row>
    <row r="28" s="1" customFormat="1" customHeight="1" spans="1:7">
      <c r="A28" s="26" t="s">
        <v>41</v>
      </c>
      <c r="B28" s="27"/>
      <c r="C28" s="28"/>
      <c r="D28" s="9">
        <f>(D15+D21+D26+D22)*5%</f>
        <v>44039.364</v>
      </c>
      <c r="E28" s="9">
        <f t="shared" ref="D28:F28" si="6">(E15+E21+E26)*10%</f>
        <v>37346.4</v>
      </c>
      <c r="F28" s="9">
        <f t="shared" si="6"/>
        <v>26342.4</v>
      </c>
      <c r="G28" s="8"/>
    </row>
    <row r="29" s="1" customFormat="1" customHeight="1" spans="1:7">
      <c r="A29" s="26" t="s">
        <v>42</v>
      </c>
      <c r="B29" s="27"/>
      <c r="C29" s="28"/>
      <c r="D29" s="9">
        <f>(D15+D21+D26+D27+D28+D22)*6%</f>
        <v>55489.59864</v>
      </c>
      <c r="E29" s="9">
        <f t="shared" ref="D29:F29" si="7">(E15+E21+E26+E27+E28)*6%</f>
        <v>24648.624</v>
      </c>
      <c r="F29" s="9">
        <f t="shared" si="7"/>
        <v>17385.984</v>
      </c>
      <c r="G29" s="8"/>
    </row>
    <row r="30" s="1" customFormat="1" customHeight="1" spans="1:7">
      <c r="A30" s="26" t="s">
        <v>43</v>
      </c>
      <c r="B30" s="27"/>
      <c r="C30" s="28"/>
      <c r="D30" s="9">
        <f>D15+D21+D26+D27+D28+D29+D22</f>
        <v>980316.24264</v>
      </c>
      <c r="E30" s="9">
        <f t="shared" ref="D30:F30" si="8">E15+E21+E26+E27+E28+E29</f>
        <v>435459.024</v>
      </c>
      <c r="F30" s="9">
        <f t="shared" si="8"/>
        <v>307152.384</v>
      </c>
      <c r="G30" s="8"/>
    </row>
    <row r="31" customHeight="1" spans="4:4">
      <c r="D31" s="1">
        <v>920914.52</v>
      </c>
    </row>
    <row r="32" customHeight="1" spans="4:4">
      <c r="D32" s="1">
        <f>D30-D31</f>
        <v>59401.7226400001</v>
      </c>
    </row>
  </sheetData>
  <mergeCells count="18">
    <mergeCell ref="A1:D1"/>
    <mergeCell ref="A2:E2"/>
    <mergeCell ref="A15:B15"/>
    <mergeCell ref="A16:E16"/>
    <mergeCell ref="B17:C17"/>
    <mergeCell ref="B18:C18"/>
    <mergeCell ref="B19:C19"/>
    <mergeCell ref="B20:C20"/>
    <mergeCell ref="A21:C21"/>
    <mergeCell ref="B22:C22"/>
    <mergeCell ref="A23:E23"/>
    <mergeCell ref="B24:C24"/>
    <mergeCell ref="B25:C25"/>
    <mergeCell ref="A26:C26"/>
    <mergeCell ref="A27:C27"/>
    <mergeCell ref="A28:C28"/>
    <mergeCell ref="A30:C30"/>
    <mergeCell ref="A18:A19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zoomScale="145" zoomScaleNormal="145" topLeftCell="A19" workbookViewId="0">
      <selection activeCell="D31" sqref="D31"/>
    </sheetView>
  </sheetViews>
  <sheetFormatPr defaultColWidth="9" defaultRowHeight="18.9" customHeight="1"/>
  <cols>
    <col min="1" max="1" width="19.1018518518519" style="1" customWidth="1"/>
    <col min="2" max="2" width="13.3981481481481" style="1" customWidth="1"/>
    <col min="3" max="3" width="12" style="1" customWidth="1"/>
    <col min="4" max="4" width="15.7037037037037" style="1" customWidth="1"/>
    <col min="5" max="6" width="15.7037037037037" style="1" hidden="1" customWidth="1"/>
    <col min="7" max="7" width="18.8981481481481" style="1" hidden="1" customWidth="1"/>
    <col min="8" max="8" width="11.1018518518519" style="1" customWidth="1"/>
    <col min="9" max="9" width="6.39814814814815" style="1" customWidth="1"/>
    <col min="10" max="10" width="7.2037037037037" style="1" customWidth="1"/>
    <col min="11" max="11" width="6.2037037037037" style="1" customWidth="1"/>
    <col min="12" max="16384" width="9" style="1"/>
  </cols>
  <sheetData>
    <row r="1" s="1" customFormat="1" customHeight="1" spans="1:6">
      <c r="A1" s="4" t="s">
        <v>55</v>
      </c>
      <c r="B1" s="4"/>
      <c r="C1" s="4"/>
      <c r="D1" s="4"/>
      <c r="E1" s="4"/>
      <c r="F1" s="4"/>
    </row>
    <row r="2" s="1" customFormat="1" customHeight="1" spans="1:7">
      <c r="A2" s="46" t="s">
        <v>1</v>
      </c>
      <c r="B2" s="47"/>
      <c r="C2" s="47"/>
      <c r="D2" s="47"/>
      <c r="E2" s="48"/>
      <c r="F2" s="44"/>
      <c r="G2" s="44"/>
    </row>
    <row r="3" s="2" customFormat="1" customHeight="1" spans="1:7">
      <c r="A3" s="6" t="s">
        <v>2</v>
      </c>
      <c r="B3" s="6" t="s">
        <v>3</v>
      </c>
      <c r="C3" s="6" t="s">
        <v>4</v>
      </c>
      <c r="D3" s="7" t="s">
        <v>5</v>
      </c>
      <c r="E3" s="7" t="s">
        <v>51</v>
      </c>
      <c r="F3" s="7" t="s">
        <v>56</v>
      </c>
      <c r="G3" s="6" t="s">
        <v>8</v>
      </c>
    </row>
    <row r="4" s="1" customFormat="1" customHeight="1" spans="1:7">
      <c r="A4" s="8" t="s">
        <v>9</v>
      </c>
      <c r="B4" s="9">
        <v>8500</v>
      </c>
      <c r="C4" s="8">
        <v>1</v>
      </c>
      <c r="D4" s="9">
        <f t="shared" ref="D4:D12" si="0">B4*C4*12</f>
        <v>102000</v>
      </c>
      <c r="E4" s="9">
        <f t="shared" ref="E4:E9" si="1">B4*C4*8</f>
        <v>68000</v>
      </c>
      <c r="F4" s="9">
        <f t="shared" ref="F4:F9" si="2">B4*C4*4</f>
        <v>34000</v>
      </c>
      <c r="G4" s="8"/>
    </row>
    <row r="5" s="1" customFormat="1" customHeight="1" spans="1:7">
      <c r="A5" s="8" t="s">
        <v>10</v>
      </c>
      <c r="B5" s="9">
        <v>6500</v>
      </c>
      <c r="C5" s="8">
        <v>1</v>
      </c>
      <c r="D5" s="9">
        <f t="shared" si="0"/>
        <v>78000</v>
      </c>
      <c r="E5" s="9">
        <f t="shared" si="1"/>
        <v>52000</v>
      </c>
      <c r="F5" s="9">
        <f t="shared" si="2"/>
        <v>26000</v>
      </c>
      <c r="G5" s="8"/>
    </row>
    <row r="6" s="1" customFormat="1" customHeight="1" spans="1:7">
      <c r="A6" s="8" t="s">
        <v>12</v>
      </c>
      <c r="B6" s="9">
        <v>5500</v>
      </c>
      <c r="C6" s="8">
        <v>1</v>
      </c>
      <c r="D6" s="9">
        <f t="shared" si="0"/>
        <v>66000</v>
      </c>
      <c r="E6" s="9">
        <f t="shared" si="1"/>
        <v>44000</v>
      </c>
      <c r="F6" s="9">
        <f t="shared" si="2"/>
        <v>22000</v>
      </c>
      <c r="G6" s="8"/>
    </row>
    <row r="7" s="1" customFormat="1" customHeight="1" spans="1:7">
      <c r="A7" s="8" t="s">
        <v>13</v>
      </c>
      <c r="B7" s="9">
        <v>5500</v>
      </c>
      <c r="C7" s="8">
        <v>1</v>
      </c>
      <c r="D7" s="9">
        <f t="shared" si="0"/>
        <v>66000</v>
      </c>
      <c r="E7" s="9">
        <f t="shared" si="1"/>
        <v>44000</v>
      </c>
      <c r="F7" s="9">
        <f t="shared" si="2"/>
        <v>22000</v>
      </c>
      <c r="G7" s="8"/>
    </row>
    <row r="8" s="1" customFormat="1" customHeight="1" spans="1:7">
      <c r="A8" s="8" t="s">
        <v>15</v>
      </c>
      <c r="B8" s="9">
        <v>4500</v>
      </c>
      <c r="C8" s="8">
        <v>1</v>
      </c>
      <c r="D8" s="9">
        <f t="shared" si="0"/>
        <v>54000</v>
      </c>
      <c r="E8" s="9">
        <f t="shared" si="1"/>
        <v>36000</v>
      </c>
      <c r="F8" s="9">
        <f t="shared" si="2"/>
        <v>18000</v>
      </c>
      <c r="G8" s="8"/>
    </row>
    <row r="9" s="1" customFormat="1" customHeight="1" spans="1:7">
      <c r="A9" s="8" t="s">
        <v>57</v>
      </c>
      <c r="B9" s="9">
        <v>3500</v>
      </c>
      <c r="C9" s="8">
        <v>1</v>
      </c>
      <c r="D9" s="9">
        <f t="shared" si="0"/>
        <v>42000</v>
      </c>
      <c r="E9" s="9">
        <f t="shared" si="1"/>
        <v>28000</v>
      </c>
      <c r="F9" s="9">
        <f t="shared" si="2"/>
        <v>14000</v>
      </c>
      <c r="G9" s="8"/>
    </row>
    <row r="10" s="1" customFormat="1" customHeight="1" spans="1:7">
      <c r="A10" s="8" t="s">
        <v>19</v>
      </c>
      <c r="B10" s="9">
        <v>4500</v>
      </c>
      <c r="C10" s="8">
        <v>1</v>
      </c>
      <c r="D10" s="9">
        <f t="shared" si="0"/>
        <v>54000</v>
      </c>
      <c r="E10" s="9"/>
      <c r="F10" s="9">
        <v>18000</v>
      </c>
      <c r="G10" s="10" t="s">
        <v>18</v>
      </c>
    </row>
    <row r="11" s="1" customFormat="1" customHeight="1" spans="1:7">
      <c r="A11" s="8" t="s">
        <v>17</v>
      </c>
      <c r="B11" s="9">
        <v>4000</v>
      </c>
      <c r="C11" s="8">
        <v>1</v>
      </c>
      <c r="D11" s="9">
        <f t="shared" si="0"/>
        <v>48000</v>
      </c>
      <c r="E11" s="9"/>
      <c r="F11" s="9">
        <v>16000</v>
      </c>
      <c r="G11" s="10" t="s">
        <v>18</v>
      </c>
    </row>
    <row r="12" s="1" customFormat="1" customHeight="1" spans="1:7">
      <c r="A12" s="8" t="s">
        <v>20</v>
      </c>
      <c r="B12" s="9">
        <v>4000</v>
      </c>
      <c r="C12" s="8">
        <v>2</v>
      </c>
      <c r="D12" s="9">
        <f t="shared" si="0"/>
        <v>96000</v>
      </c>
      <c r="E12" s="9"/>
      <c r="F12" s="9">
        <v>32000</v>
      </c>
      <c r="G12" s="10" t="s">
        <v>18</v>
      </c>
    </row>
    <row r="13" s="1" customFormat="1" customHeight="1" spans="1:7">
      <c r="A13" s="8" t="s">
        <v>58</v>
      </c>
      <c r="B13" s="9">
        <v>4000</v>
      </c>
      <c r="C13" s="8">
        <v>1</v>
      </c>
      <c r="D13" s="9">
        <f t="shared" ref="D13:D15" si="3">B13*C13*12</f>
        <v>48000</v>
      </c>
      <c r="E13" s="9">
        <f t="shared" ref="E13:E15" si="4">B13*C13*8</f>
        <v>32000</v>
      </c>
      <c r="F13" s="9">
        <f t="shared" ref="F13:F15" si="5">B13*C13*4</f>
        <v>16000</v>
      </c>
      <c r="G13" s="10" t="s">
        <v>11</v>
      </c>
    </row>
    <row r="14" s="1" customFormat="1" customHeight="1" spans="1:9">
      <c r="A14" s="8" t="s">
        <v>22</v>
      </c>
      <c r="B14" s="9">
        <v>3600</v>
      </c>
      <c r="C14" s="8">
        <v>2</v>
      </c>
      <c r="D14" s="9">
        <f t="shared" si="3"/>
        <v>86400</v>
      </c>
      <c r="E14" s="9">
        <f t="shared" si="4"/>
        <v>57600</v>
      </c>
      <c r="F14" s="9">
        <f t="shared" si="5"/>
        <v>28800</v>
      </c>
      <c r="G14" s="8"/>
      <c r="I14" s="11"/>
    </row>
    <row r="15" s="1" customFormat="1" customHeight="1" spans="1:9">
      <c r="A15" s="8" t="s">
        <v>59</v>
      </c>
      <c r="B15" s="9">
        <v>3500</v>
      </c>
      <c r="C15" s="8">
        <v>1</v>
      </c>
      <c r="D15" s="9">
        <f t="shared" si="3"/>
        <v>42000</v>
      </c>
      <c r="E15" s="9">
        <f t="shared" si="4"/>
        <v>28000</v>
      </c>
      <c r="F15" s="9">
        <f t="shared" si="5"/>
        <v>14000</v>
      </c>
      <c r="G15" s="8"/>
      <c r="I15" s="11"/>
    </row>
    <row r="16" s="1" customFormat="1" customHeight="1" spans="1:7">
      <c r="A16" s="12" t="s">
        <v>23</v>
      </c>
      <c r="B16" s="13"/>
      <c r="C16" s="8">
        <f t="shared" ref="C16:F16" si="6">SUM(C4:C15)</f>
        <v>14</v>
      </c>
      <c r="D16" s="9">
        <f t="shared" si="6"/>
        <v>782400</v>
      </c>
      <c r="E16" s="9">
        <f t="shared" si="6"/>
        <v>389600</v>
      </c>
      <c r="F16" s="9">
        <f t="shared" si="6"/>
        <v>260800</v>
      </c>
      <c r="G16" s="8"/>
    </row>
    <row r="17" s="1" customFormat="1" customHeight="1" spans="1:7">
      <c r="A17" s="46" t="s">
        <v>24</v>
      </c>
      <c r="B17" s="47"/>
      <c r="C17" s="47"/>
      <c r="D17" s="47"/>
      <c r="E17" s="48"/>
      <c r="F17" s="44"/>
      <c r="G17" s="44"/>
    </row>
    <row r="18" s="1" customFormat="1" customHeight="1" spans="1:7">
      <c r="A18" s="14" t="s">
        <v>25</v>
      </c>
      <c r="B18" s="14" t="s">
        <v>26</v>
      </c>
      <c r="C18" s="14"/>
      <c r="D18" s="15" t="s">
        <v>5</v>
      </c>
      <c r="E18" s="7" t="s">
        <v>51</v>
      </c>
      <c r="F18" s="7" t="s">
        <v>56</v>
      </c>
      <c r="G18" s="14" t="s">
        <v>27</v>
      </c>
    </row>
    <row r="19" s="1" customFormat="1" customHeight="1" spans="1:7">
      <c r="A19" s="42" t="s">
        <v>28</v>
      </c>
      <c r="B19" s="8" t="s">
        <v>60</v>
      </c>
      <c r="C19" s="8"/>
      <c r="D19" s="18">
        <f>1038.38*10*12</f>
        <v>124605.6</v>
      </c>
      <c r="E19" s="49">
        <f>912*10*8</f>
        <v>72960</v>
      </c>
      <c r="F19" s="49">
        <f>912*10*4</f>
        <v>36480</v>
      </c>
      <c r="G19" s="42"/>
    </row>
    <row r="20" s="1" customFormat="1" customHeight="1" spans="1:7">
      <c r="A20" s="38"/>
      <c r="B20" s="8" t="s">
        <v>30</v>
      </c>
      <c r="C20" s="8"/>
      <c r="D20" s="18">
        <f>1038.38*4*12</f>
        <v>49842.24</v>
      </c>
      <c r="E20" s="49"/>
      <c r="F20" s="18">
        <f>912*4*4</f>
        <v>14592</v>
      </c>
      <c r="G20" s="42"/>
    </row>
    <row r="21" s="2" customFormat="1" customHeight="1" spans="1:7">
      <c r="A21" s="8" t="s">
        <v>31</v>
      </c>
      <c r="B21" s="8"/>
      <c r="C21" s="8"/>
      <c r="D21" s="18">
        <f t="shared" ref="D21:F21" si="7">SUM(D19:D20)</f>
        <v>174447.84</v>
      </c>
      <c r="E21" s="18">
        <f t="shared" si="7"/>
        <v>72960</v>
      </c>
      <c r="F21" s="18">
        <f t="shared" si="7"/>
        <v>51072</v>
      </c>
      <c r="G21" s="8"/>
    </row>
    <row r="22" s="1" customFormat="1" customHeight="1" spans="1:7">
      <c r="A22" s="8" t="s">
        <v>32</v>
      </c>
      <c r="B22" s="8"/>
      <c r="C22" s="8"/>
      <c r="D22" s="18">
        <f t="shared" ref="D22:F22" si="8">D21</f>
        <v>174447.84</v>
      </c>
      <c r="E22" s="18">
        <f t="shared" si="8"/>
        <v>72960</v>
      </c>
      <c r="F22" s="18">
        <f t="shared" si="8"/>
        <v>51072</v>
      </c>
      <c r="G22" s="8"/>
    </row>
    <row r="23" s="1" customFormat="1" customHeight="1" spans="1:7">
      <c r="A23" s="8" t="s">
        <v>33</v>
      </c>
      <c r="B23" s="12"/>
      <c r="C23" s="13"/>
      <c r="D23" s="18">
        <f>(D4+D5+D6+D7+D8+D9+D13+D14+D15)*0.14</f>
        <v>81816</v>
      </c>
      <c r="E23" s="39"/>
      <c r="F23" s="18"/>
      <c r="G23" s="8"/>
    </row>
    <row r="24" s="1" customFormat="1" customHeight="1" spans="1:7">
      <c r="A24" s="46" t="s">
        <v>34</v>
      </c>
      <c r="B24" s="47"/>
      <c r="C24" s="47"/>
      <c r="D24" s="47"/>
      <c r="E24" s="48"/>
      <c r="F24" s="44"/>
      <c r="G24" s="44"/>
    </row>
    <row r="25" s="1" customFormat="1" customHeight="1" spans="1:7">
      <c r="A25" s="14" t="s">
        <v>25</v>
      </c>
      <c r="B25" s="14" t="s">
        <v>26</v>
      </c>
      <c r="C25" s="14"/>
      <c r="D25" s="15" t="s">
        <v>5</v>
      </c>
      <c r="E25" s="7" t="s">
        <v>54</v>
      </c>
      <c r="F25" s="15"/>
      <c r="G25" s="14" t="s">
        <v>36</v>
      </c>
    </row>
    <row r="26" s="1" customFormat="1" customHeight="1" spans="1:7">
      <c r="A26" s="8" t="s">
        <v>37</v>
      </c>
      <c r="B26" s="8" t="s">
        <v>38</v>
      </c>
      <c r="C26" s="8"/>
      <c r="D26" s="9">
        <f>600*C16</f>
        <v>8400</v>
      </c>
      <c r="E26" s="9">
        <v>8400</v>
      </c>
      <c r="F26" s="9"/>
      <c r="G26" s="8" t="s">
        <v>39</v>
      </c>
    </row>
    <row r="27" s="1" customFormat="1" customHeight="1" spans="1:7">
      <c r="A27" s="12" t="s">
        <v>40</v>
      </c>
      <c r="B27" s="20"/>
      <c r="C27" s="13"/>
      <c r="D27" s="9">
        <f>SUM(D26:D26)</f>
        <v>8400</v>
      </c>
      <c r="E27" s="9">
        <f>SUM(E26:E26)</f>
        <v>8400</v>
      </c>
      <c r="F27" s="9"/>
      <c r="G27" s="8"/>
    </row>
    <row r="28" s="1" customFormat="1" customHeight="1" spans="1:7">
      <c r="A28" s="26"/>
      <c r="B28" s="27"/>
      <c r="C28" s="28"/>
      <c r="D28" s="9"/>
      <c r="E28" s="9"/>
      <c r="F28" s="9"/>
      <c r="G28" s="8"/>
    </row>
    <row r="29" s="1" customFormat="1" customHeight="1" spans="1:7">
      <c r="A29" s="26" t="s">
        <v>41</v>
      </c>
      <c r="B29" s="27"/>
      <c r="C29" s="28"/>
      <c r="D29" s="9">
        <f>(D16+D22+D27+D23)*5%</f>
        <v>52353.192</v>
      </c>
      <c r="E29" s="9">
        <f t="shared" ref="D29:F29" si="9">(E16+E22+E27)*10%</f>
        <v>47096</v>
      </c>
      <c r="F29" s="9">
        <f t="shared" si="9"/>
        <v>31187.2</v>
      </c>
      <c r="G29" s="8"/>
    </row>
    <row r="30" s="1" customFormat="1" customHeight="1" spans="1:7">
      <c r="A30" s="26" t="s">
        <v>42</v>
      </c>
      <c r="B30" s="27"/>
      <c r="C30" s="28"/>
      <c r="D30" s="9">
        <f>(D16+D22+D27+D28+D29+D23)*6%</f>
        <v>65965.02192</v>
      </c>
      <c r="E30" s="9">
        <f t="shared" ref="D30:F30" si="10">(E16+E22+E27+E28+E29)*6%</f>
        <v>31083.36</v>
      </c>
      <c r="F30" s="9">
        <f t="shared" si="10"/>
        <v>20583.552</v>
      </c>
      <c r="G30" s="8"/>
    </row>
    <row r="31" s="1" customFormat="1" customHeight="1" spans="1:7">
      <c r="A31" s="26" t="s">
        <v>43</v>
      </c>
      <c r="B31" s="27"/>
      <c r="C31" s="28"/>
      <c r="D31" s="9">
        <f>D16+D22+D27+D28+D29+D30+D23</f>
        <v>1165382.05392</v>
      </c>
      <c r="E31" s="9">
        <f t="shared" ref="D31:F31" si="11">E16+E22+E27+E28+E29+E30</f>
        <v>549139.36</v>
      </c>
      <c r="F31" s="9">
        <f t="shared" si="11"/>
        <v>363642.752</v>
      </c>
      <c r="G31" s="8"/>
    </row>
    <row r="32" customHeight="1" spans="4:4">
      <c r="D32" s="1">
        <v>1088313.29</v>
      </c>
    </row>
    <row r="33" customHeight="1" spans="4:4">
      <c r="D33" s="1">
        <f>D31-D32</f>
        <v>77068.7639200001</v>
      </c>
    </row>
  </sheetData>
  <mergeCells count="18">
    <mergeCell ref="A1:D1"/>
    <mergeCell ref="A2:E2"/>
    <mergeCell ref="A16:B16"/>
    <mergeCell ref="A17:E17"/>
    <mergeCell ref="B18:C18"/>
    <mergeCell ref="B19:C19"/>
    <mergeCell ref="B20:C20"/>
    <mergeCell ref="B21:C21"/>
    <mergeCell ref="A22:C22"/>
    <mergeCell ref="B23:C23"/>
    <mergeCell ref="A24:E24"/>
    <mergeCell ref="B25:C25"/>
    <mergeCell ref="B26:C26"/>
    <mergeCell ref="A27:C27"/>
    <mergeCell ref="A28:C28"/>
    <mergeCell ref="A29:C29"/>
    <mergeCell ref="A31:C31"/>
    <mergeCell ref="A19:A20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zoomScale="145" zoomScaleNormal="145" topLeftCell="A4" workbookViewId="0">
      <selection activeCell="A23" sqref="A23:E23"/>
    </sheetView>
  </sheetViews>
  <sheetFormatPr defaultColWidth="9" defaultRowHeight="18.9" customHeight="1"/>
  <cols>
    <col min="1" max="1" width="19.1018518518519" style="1" customWidth="1"/>
    <col min="2" max="2" width="13.3981481481481" style="1" customWidth="1"/>
    <col min="3" max="3" width="12" style="1" customWidth="1"/>
    <col min="4" max="4" width="15.7037037037037" style="1" customWidth="1"/>
    <col min="5" max="6" width="15.7037037037037" style="1" hidden="1" customWidth="1"/>
    <col min="7" max="7" width="18.8981481481481" style="1" hidden="1" customWidth="1"/>
    <col min="8" max="8" width="9" style="1"/>
    <col min="9" max="9" width="11.6018518518519" style="1"/>
    <col min="10" max="16384" width="9" style="1"/>
  </cols>
  <sheetData>
    <row r="1" s="1" customFormat="1" customHeight="1" spans="1:6">
      <c r="A1" s="4" t="s">
        <v>61</v>
      </c>
      <c r="B1" s="4"/>
      <c r="C1" s="4"/>
      <c r="D1" s="4"/>
      <c r="E1" s="4"/>
      <c r="F1" s="4"/>
    </row>
    <row r="2" s="1" customFormat="1" customHeight="1" spans="1:7">
      <c r="A2" s="26" t="s">
        <v>1</v>
      </c>
      <c r="B2" s="27"/>
      <c r="C2" s="27"/>
      <c r="D2" s="27"/>
      <c r="E2" s="28"/>
      <c r="F2" s="44"/>
      <c r="G2" s="44"/>
    </row>
    <row r="3" s="2" customFormat="1" customHeight="1" spans="1:7">
      <c r="A3" s="6" t="s">
        <v>2</v>
      </c>
      <c r="B3" s="6" t="s">
        <v>3</v>
      </c>
      <c r="C3" s="6" t="s">
        <v>4</v>
      </c>
      <c r="D3" s="7" t="s">
        <v>5</v>
      </c>
      <c r="E3" s="7" t="s">
        <v>51</v>
      </c>
      <c r="F3" s="7" t="s">
        <v>62</v>
      </c>
      <c r="G3" s="6" t="s">
        <v>8</v>
      </c>
    </row>
    <row r="4" s="1" customFormat="1" customHeight="1" spans="1:7">
      <c r="A4" s="8" t="s">
        <v>9</v>
      </c>
      <c r="B4" s="9">
        <v>6500</v>
      </c>
      <c r="C4" s="8">
        <v>1</v>
      </c>
      <c r="D4" s="9">
        <f t="shared" ref="D4:D14" si="0">B4*C4*12</f>
        <v>78000</v>
      </c>
      <c r="E4" s="9">
        <f t="shared" ref="E4:E9" si="1">B4*C4*8</f>
        <v>52000</v>
      </c>
      <c r="F4" s="9">
        <f t="shared" ref="F4:F9" si="2">B4*C4*4</f>
        <v>26000</v>
      </c>
      <c r="G4" s="10"/>
    </row>
    <row r="5" s="1" customFormat="1" customHeight="1" spans="1:7">
      <c r="A5" s="8" t="s">
        <v>10</v>
      </c>
      <c r="B5" s="9">
        <v>5000</v>
      </c>
      <c r="C5" s="8">
        <v>1</v>
      </c>
      <c r="D5" s="9">
        <f t="shared" si="0"/>
        <v>60000</v>
      </c>
      <c r="E5" s="9">
        <f t="shared" si="1"/>
        <v>40000</v>
      </c>
      <c r="F5" s="9">
        <f t="shared" si="2"/>
        <v>20000</v>
      </c>
      <c r="G5" s="10" t="s">
        <v>11</v>
      </c>
    </row>
    <row r="6" s="1" customFormat="1" customHeight="1" spans="1:7">
      <c r="A6" s="8" t="s">
        <v>12</v>
      </c>
      <c r="B6" s="9">
        <v>5000</v>
      </c>
      <c r="C6" s="8">
        <v>1</v>
      </c>
      <c r="D6" s="9">
        <f t="shared" si="0"/>
        <v>60000</v>
      </c>
      <c r="E6" s="9">
        <f t="shared" si="1"/>
        <v>40000</v>
      </c>
      <c r="F6" s="9">
        <f t="shared" si="2"/>
        <v>20000</v>
      </c>
      <c r="G6" s="10" t="s">
        <v>63</v>
      </c>
    </row>
    <row r="7" s="1" customFormat="1" customHeight="1" spans="1:7">
      <c r="A7" s="8" t="s">
        <v>13</v>
      </c>
      <c r="B7" s="9">
        <v>4000</v>
      </c>
      <c r="C7" s="8">
        <v>1</v>
      </c>
      <c r="D7" s="9">
        <f t="shared" si="0"/>
        <v>48000</v>
      </c>
      <c r="E7" s="9">
        <f t="shared" si="1"/>
        <v>32000</v>
      </c>
      <c r="F7" s="9">
        <f t="shared" si="2"/>
        <v>16000</v>
      </c>
      <c r="G7" s="10" t="s">
        <v>14</v>
      </c>
    </row>
    <row r="8" s="1" customFormat="1" customHeight="1" spans="1:7">
      <c r="A8" s="8" t="s">
        <v>15</v>
      </c>
      <c r="B8" s="9">
        <v>4000</v>
      </c>
      <c r="C8" s="8">
        <v>1</v>
      </c>
      <c r="D8" s="9">
        <f t="shared" si="0"/>
        <v>48000</v>
      </c>
      <c r="E8" s="9">
        <f t="shared" si="1"/>
        <v>32000</v>
      </c>
      <c r="F8" s="9">
        <f t="shared" si="2"/>
        <v>16000</v>
      </c>
      <c r="G8" s="10" t="s">
        <v>11</v>
      </c>
    </row>
    <row r="9" s="1" customFormat="1" customHeight="1" spans="1:7">
      <c r="A9" s="8" t="s">
        <v>16</v>
      </c>
      <c r="B9" s="9">
        <v>3000</v>
      </c>
      <c r="C9" s="8">
        <v>1</v>
      </c>
      <c r="D9" s="9">
        <f t="shared" si="0"/>
        <v>36000</v>
      </c>
      <c r="E9" s="9">
        <f t="shared" si="1"/>
        <v>24000</v>
      </c>
      <c r="F9" s="9">
        <f t="shared" si="2"/>
        <v>12000</v>
      </c>
      <c r="G9" s="10"/>
    </row>
    <row r="10" s="1" customFormat="1" customHeight="1" spans="1:7">
      <c r="A10" s="8" t="s">
        <v>19</v>
      </c>
      <c r="B10" s="9">
        <v>4500</v>
      </c>
      <c r="C10" s="8">
        <v>1</v>
      </c>
      <c r="D10" s="9">
        <f t="shared" si="0"/>
        <v>54000</v>
      </c>
      <c r="E10" s="9"/>
      <c r="F10" s="9">
        <v>18000</v>
      </c>
      <c r="G10" s="10" t="s">
        <v>18</v>
      </c>
    </row>
    <row r="11" s="1" customFormat="1" customHeight="1" spans="1:7">
      <c r="A11" s="8" t="s">
        <v>17</v>
      </c>
      <c r="B11" s="9">
        <v>4000</v>
      </c>
      <c r="C11" s="8">
        <v>1</v>
      </c>
      <c r="D11" s="9">
        <f t="shared" si="0"/>
        <v>48000</v>
      </c>
      <c r="E11" s="9"/>
      <c r="F11" s="9">
        <v>16000</v>
      </c>
      <c r="G11" s="10" t="s">
        <v>18</v>
      </c>
    </row>
    <row r="12" s="1" customFormat="1" customHeight="1" spans="1:7">
      <c r="A12" s="8" t="s">
        <v>20</v>
      </c>
      <c r="B12" s="9">
        <v>4000</v>
      </c>
      <c r="C12" s="8">
        <v>2</v>
      </c>
      <c r="D12" s="9">
        <f t="shared" si="0"/>
        <v>96000</v>
      </c>
      <c r="E12" s="9"/>
      <c r="F12" s="9">
        <v>32000</v>
      </c>
      <c r="G12" s="10" t="s">
        <v>18</v>
      </c>
    </row>
    <row r="13" s="1" customFormat="1" customHeight="1" spans="1:7">
      <c r="A13" s="8" t="s">
        <v>21</v>
      </c>
      <c r="B13" s="9">
        <v>4000</v>
      </c>
      <c r="C13" s="8">
        <v>1</v>
      </c>
      <c r="D13" s="9">
        <f t="shared" si="0"/>
        <v>48000</v>
      </c>
      <c r="E13" s="9">
        <f>B13*C13*8</f>
        <v>32000</v>
      </c>
      <c r="F13" s="9">
        <f>B13*C13*4</f>
        <v>16000</v>
      </c>
      <c r="G13" s="10" t="s">
        <v>11</v>
      </c>
    </row>
    <row r="14" s="1" customFormat="1" customHeight="1" spans="1:9">
      <c r="A14" s="8" t="s">
        <v>22</v>
      </c>
      <c r="B14" s="9">
        <v>3000</v>
      </c>
      <c r="C14" s="8">
        <v>1</v>
      </c>
      <c r="D14" s="9">
        <f t="shared" si="0"/>
        <v>36000</v>
      </c>
      <c r="E14" s="9">
        <f>B14*C14*8</f>
        <v>24000</v>
      </c>
      <c r="F14" s="9">
        <f>B14*C14*4</f>
        <v>12000</v>
      </c>
      <c r="G14" s="10"/>
      <c r="I14" s="11"/>
    </row>
    <row r="15" s="1" customFormat="1" customHeight="1" spans="1:7">
      <c r="A15" s="12" t="s">
        <v>23</v>
      </c>
      <c r="B15" s="13"/>
      <c r="C15" s="8">
        <f t="shared" ref="C15:F15" si="3">SUM(C4:C14)</f>
        <v>12</v>
      </c>
      <c r="D15" s="9">
        <f t="shared" si="3"/>
        <v>612000</v>
      </c>
      <c r="E15" s="9">
        <f t="shared" si="3"/>
        <v>276000</v>
      </c>
      <c r="F15" s="9">
        <f t="shared" si="3"/>
        <v>204000</v>
      </c>
      <c r="G15" s="10"/>
    </row>
    <row r="16" s="1" customFormat="1" customHeight="1" spans="1:7">
      <c r="A16" s="26" t="s">
        <v>24</v>
      </c>
      <c r="B16" s="27"/>
      <c r="C16" s="27"/>
      <c r="D16" s="27"/>
      <c r="E16" s="28"/>
      <c r="F16" s="44"/>
      <c r="G16" s="44"/>
    </row>
    <row r="17" s="1" customFormat="1" customHeight="1" spans="1:7">
      <c r="A17" s="14" t="s">
        <v>25</v>
      </c>
      <c r="B17" s="14" t="s">
        <v>26</v>
      </c>
      <c r="C17" s="14"/>
      <c r="D17" s="15" t="s">
        <v>5</v>
      </c>
      <c r="E17" s="7" t="s">
        <v>51</v>
      </c>
      <c r="F17" s="7" t="s">
        <v>62</v>
      </c>
      <c r="G17" s="14" t="s">
        <v>27</v>
      </c>
    </row>
    <row r="18" s="1" customFormat="1" customHeight="1" spans="1:7">
      <c r="A18" s="42" t="s">
        <v>28</v>
      </c>
      <c r="B18" s="8" t="s">
        <v>29</v>
      </c>
      <c r="C18" s="8"/>
      <c r="D18" s="16">
        <f>1038.38*8*12</f>
        <v>99684.48</v>
      </c>
      <c r="E18" s="18">
        <f>912*8*8</f>
        <v>58368</v>
      </c>
      <c r="F18" s="18">
        <f>912*8*4</f>
        <v>29184</v>
      </c>
      <c r="G18" s="38"/>
    </row>
    <row r="19" s="1" customFormat="1" customHeight="1" spans="1:7">
      <c r="A19" s="38"/>
      <c r="B19" s="8" t="s">
        <v>30</v>
      </c>
      <c r="C19" s="8"/>
      <c r="D19" s="16">
        <f>1038.38*4*12</f>
        <v>49842.24</v>
      </c>
      <c r="E19" s="18"/>
      <c r="F19" s="16">
        <f>912*4*4</f>
        <v>14592</v>
      </c>
      <c r="G19" s="38"/>
    </row>
    <row r="20" s="2" customFormat="1" customHeight="1" spans="1:7">
      <c r="A20" s="17" t="s">
        <v>31</v>
      </c>
      <c r="B20" s="12"/>
      <c r="C20" s="13"/>
      <c r="D20" s="16">
        <f t="shared" ref="D20:F20" si="4">SUM(D18:D19)</f>
        <v>149526.72</v>
      </c>
      <c r="E20" s="16">
        <f t="shared" si="4"/>
        <v>58368</v>
      </c>
      <c r="F20" s="16">
        <f t="shared" si="4"/>
        <v>43776</v>
      </c>
      <c r="G20" s="17"/>
    </row>
    <row r="21" s="1" customFormat="1" customHeight="1" spans="1:7">
      <c r="A21" s="8" t="s">
        <v>32</v>
      </c>
      <c r="B21" s="8"/>
      <c r="C21" s="8"/>
      <c r="D21" s="18">
        <f t="shared" ref="D21:F21" si="5">D20</f>
        <v>149526.72</v>
      </c>
      <c r="E21" s="18">
        <f t="shared" si="5"/>
        <v>58368</v>
      </c>
      <c r="F21" s="18">
        <f t="shared" si="5"/>
        <v>43776</v>
      </c>
      <c r="G21" s="8"/>
    </row>
    <row r="22" s="1" customFormat="1" customHeight="1" spans="1:7">
      <c r="A22" s="8" t="s">
        <v>33</v>
      </c>
      <c r="B22" s="12"/>
      <c r="C22" s="13"/>
      <c r="D22" s="18">
        <f>(D4+D5+D6+D7+D8+D9+D13+D14)*0.14</f>
        <v>57960</v>
      </c>
      <c r="E22" s="39"/>
      <c r="F22" s="18"/>
      <c r="G22" s="8"/>
    </row>
    <row r="23" s="1" customFormat="1" customHeight="1" spans="1:7">
      <c r="A23" s="26" t="s">
        <v>34</v>
      </c>
      <c r="B23" s="27"/>
      <c r="C23" s="27"/>
      <c r="D23" s="27"/>
      <c r="E23" s="28"/>
      <c r="F23" s="44"/>
      <c r="G23" s="44"/>
    </row>
    <row r="24" s="1" customFormat="1" customHeight="1" spans="1:7">
      <c r="A24" s="14" t="s">
        <v>25</v>
      </c>
      <c r="B24" s="14" t="s">
        <v>26</v>
      </c>
      <c r="C24" s="14"/>
      <c r="D24" s="15" t="s">
        <v>5</v>
      </c>
      <c r="E24" s="7" t="s">
        <v>54</v>
      </c>
      <c r="F24" s="15"/>
      <c r="G24" s="14" t="s">
        <v>36</v>
      </c>
    </row>
    <row r="25" s="1" customFormat="1" customHeight="1" spans="1:7">
      <c r="A25" s="8" t="s">
        <v>37</v>
      </c>
      <c r="B25" s="8" t="s">
        <v>38</v>
      </c>
      <c r="C25" s="8"/>
      <c r="D25" s="9">
        <f>600*C15*1</f>
        <v>7200</v>
      </c>
      <c r="E25" s="9">
        <v>7200</v>
      </c>
      <c r="F25" s="9"/>
      <c r="G25" s="8" t="s">
        <v>39</v>
      </c>
    </row>
    <row r="26" s="1" customFormat="1" customHeight="1" spans="1:7">
      <c r="A26" s="12" t="s">
        <v>40</v>
      </c>
      <c r="B26" s="20"/>
      <c r="C26" s="13"/>
      <c r="D26" s="9">
        <f>SUM(D25:D25)</f>
        <v>7200</v>
      </c>
      <c r="E26" s="9">
        <f>SUM(E25:E25)</f>
        <v>7200</v>
      </c>
      <c r="F26" s="9"/>
      <c r="G26" s="8"/>
    </row>
    <row r="27" s="1" customFormat="1" customHeight="1" spans="1:7">
      <c r="A27" s="26"/>
      <c r="B27" s="27"/>
      <c r="C27" s="28"/>
      <c r="D27" s="9"/>
      <c r="E27" s="9"/>
      <c r="F27" s="9"/>
      <c r="G27" s="8"/>
    </row>
    <row r="28" s="1" customFormat="1" customHeight="1" spans="1:7">
      <c r="A28" s="26" t="s">
        <v>41</v>
      </c>
      <c r="B28" s="27"/>
      <c r="C28" s="28"/>
      <c r="D28" s="9">
        <f>(D15+D21+D26+D22)*5%</f>
        <v>41334.336</v>
      </c>
      <c r="E28" s="9">
        <f t="shared" ref="D28:F28" si="6">(E15+E21+E26)*10%</f>
        <v>34156.8</v>
      </c>
      <c r="F28" s="9">
        <f t="shared" si="6"/>
        <v>24777.6</v>
      </c>
      <c r="G28" s="8"/>
    </row>
    <row r="29" s="1" customFormat="1" customHeight="1" spans="1:7">
      <c r="A29" s="26" t="s">
        <v>42</v>
      </c>
      <c r="B29" s="27"/>
      <c r="C29" s="28"/>
      <c r="D29" s="9">
        <f>(D15+D21+D26+D27+D28+D22)*6%</f>
        <v>52081.26336</v>
      </c>
      <c r="E29" s="9">
        <f t="shared" ref="D29:F29" si="7">(E15+E21+E26+E27+E28)*6%</f>
        <v>22543.488</v>
      </c>
      <c r="F29" s="9">
        <f t="shared" si="7"/>
        <v>16353.216</v>
      </c>
      <c r="G29" s="8"/>
    </row>
    <row r="30" s="1" customFormat="1" customHeight="1" spans="1:7">
      <c r="A30" s="26" t="s">
        <v>43</v>
      </c>
      <c r="B30" s="27"/>
      <c r="C30" s="28"/>
      <c r="D30" s="9">
        <f>D15+D21+D26+D27+D28+D29+D22</f>
        <v>920102.31936</v>
      </c>
      <c r="E30" s="9">
        <f t="shared" ref="D30:F30" si="8">E15+E21+E26+E27+E28+E29</f>
        <v>398268.288</v>
      </c>
      <c r="F30" s="9">
        <f t="shared" si="8"/>
        <v>288906.816</v>
      </c>
      <c r="G30" s="8"/>
    </row>
    <row r="31" customHeight="1" spans="4:4">
      <c r="D31" s="1">
        <v>859105.32</v>
      </c>
    </row>
    <row r="32" customHeight="1" spans="4:4">
      <c r="D32" s="1">
        <f>D30-D31</f>
        <v>60996.99936</v>
      </c>
    </row>
  </sheetData>
  <mergeCells count="18">
    <mergeCell ref="A1:D1"/>
    <mergeCell ref="A2:E2"/>
    <mergeCell ref="A15:B15"/>
    <mergeCell ref="A16:E16"/>
    <mergeCell ref="B17:C17"/>
    <mergeCell ref="B18:C18"/>
    <mergeCell ref="B19:C19"/>
    <mergeCell ref="B20:C20"/>
    <mergeCell ref="A21:C21"/>
    <mergeCell ref="B22:C22"/>
    <mergeCell ref="A23:E23"/>
    <mergeCell ref="B24:C24"/>
    <mergeCell ref="B25:C25"/>
    <mergeCell ref="A26:C26"/>
    <mergeCell ref="A27:C27"/>
    <mergeCell ref="A28:C28"/>
    <mergeCell ref="A30:C30"/>
    <mergeCell ref="A18:A19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zoomScale="175" zoomScaleNormal="175" topLeftCell="A17" workbookViewId="0">
      <selection activeCell="A20" sqref="A20:E20"/>
    </sheetView>
  </sheetViews>
  <sheetFormatPr defaultColWidth="9" defaultRowHeight="18.9" customHeight="1"/>
  <cols>
    <col min="1" max="1" width="19.1018518518519" style="1" customWidth="1"/>
    <col min="2" max="2" width="13.3981481481481" style="1" customWidth="1"/>
    <col min="3" max="3" width="12" style="1" customWidth="1"/>
    <col min="4" max="4" width="15.7037037037037" style="1" customWidth="1"/>
    <col min="5" max="6" width="15.7037037037037" style="1" hidden="1" customWidth="1"/>
    <col min="7" max="7" width="18.8981481481481" style="1" hidden="1" customWidth="1"/>
    <col min="8" max="8" width="9" style="1"/>
    <col min="9" max="9" width="11.6018518518519" style="1"/>
    <col min="10" max="16384" width="9" style="1"/>
  </cols>
  <sheetData>
    <row r="1" s="1" customFormat="1" ht="21" customHeight="1" spans="1:6">
      <c r="A1" s="43" t="s">
        <v>64</v>
      </c>
      <c r="B1" s="43"/>
      <c r="C1" s="43"/>
      <c r="D1" s="43"/>
      <c r="E1" s="4"/>
      <c r="F1" s="4"/>
    </row>
    <row r="2" s="1" customFormat="1" ht="21" customHeight="1" spans="1:7">
      <c r="A2" s="26" t="s">
        <v>1</v>
      </c>
      <c r="B2" s="27"/>
      <c r="C2" s="27"/>
      <c r="D2" s="27"/>
      <c r="E2" s="28"/>
      <c r="F2" s="44"/>
      <c r="G2" s="44"/>
    </row>
    <row r="3" s="2" customFormat="1" ht="21" customHeight="1" spans="1:7">
      <c r="A3" s="6" t="s">
        <v>2</v>
      </c>
      <c r="B3" s="6" t="s">
        <v>3</v>
      </c>
      <c r="C3" s="6" t="s">
        <v>4</v>
      </c>
      <c r="D3" s="7" t="s">
        <v>5</v>
      </c>
      <c r="E3" s="7" t="s">
        <v>51</v>
      </c>
      <c r="F3" s="7" t="s">
        <v>65</v>
      </c>
      <c r="G3" s="6" t="s">
        <v>8</v>
      </c>
    </row>
    <row r="4" s="1" customFormat="1" ht="21" customHeight="1" spans="1:7">
      <c r="A4" s="8" t="s">
        <v>9</v>
      </c>
      <c r="B4" s="9">
        <v>6000</v>
      </c>
      <c r="C4" s="8">
        <v>1</v>
      </c>
      <c r="D4" s="9">
        <f>B4*C4*12</f>
        <v>72000</v>
      </c>
      <c r="E4" s="9">
        <f>B4*C4*8</f>
        <v>48000</v>
      </c>
      <c r="F4" s="9">
        <f>B4*C4*4</f>
        <v>24000</v>
      </c>
      <c r="G4" s="10"/>
    </row>
    <row r="5" s="1" customFormat="1" ht="21" customHeight="1" spans="1:7">
      <c r="A5" s="8" t="s">
        <v>10</v>
      </c>
      <c r="B5" s="9">
        <v>4500</v>
      </c>
      <c r="C5" s="8">
        <v>1</v>
      </c>
      <c r="D5" s="9">
        <f>B5*C5*12</f>
        <v>54000</v>
      </c>
      <c r="E5" s="9"/>
      <c r="F5" s="9"/>
      <c r="G5" s="10"/>
    </row>
    <row r="6" s="1" customFormat="1" ht="21" customHeight="1" spans="1:7">
      <c r="A6" s="8" t="s">
        <v>13</v>
      </c>
      <c r="B6" s="9">
        <v>4000</v>
      </c>
      <c r="C6" s="8">
        <v>1</v>
      </c>
      <c r="D6" s="9">
        <f t="shared" ref="D6:D11" si="0">B6*C6*12</f>
        <v>48000</v>
      </c>
      <c r="E6" s="9">
        <f>B6*C6*8</f>
        <v>32000</v>
      </c>
      <c r="F6" s="9">
        <f>B6*C6*4</f>
        <v>16000</v>
      </c>
      <c r="G6" s="10" t="s">
        <v>66</v>
      </c>
    </row>
    <row r="7" s="1" customFormat="1" ht="21" customHeight="1" spans="1:7">
      <c r="A7" s="8" t="s">
        <v>15</v>
      </c>
      <c r="B7" s="9">
        <v>4000</v>
      </c>
      <c r="C7" s="8">
        <v>1</v>
      </c>
      <c r="D7" s="9">
        <f t="shared" si="0"/>
        <v>48000</v>
      </c>
      <c r="E7" s="9">
        <f>B7*C7*8</f>
        <v>32000</v>
      </c>
      <c r="F7" s="9">
        <f>B7*C7*4</f>
        <v>16000</v>
      </c>
      <c r="G7" s="10" t="s">
        <v>11</v>
      </c>
    </row>
    <row r="8" s="1" customFormat="1" ht="21" customHeight="1" spans="1:7">
      <c r="A8" s="8" t="s">
        <v>16</v>
      </c>
      <c r="B8" s="9">
        <v>3000</v>
      </c>
      <c r="C8" s="8">
        <v>1</v>
      </c>
      <c r="D8" s="9">
        <f t="shared" si="0"/>
        <v>36000</v>
      </c>
      <c r="E8" s="9">
        <f>B8*C8*8</f>
        <v>24000</v>
      </c>
      <c r="F8" s="9">
        <f>B8*C8*4</f>
        <v>12000</v>
      </c>
      <c r="G8" s="10"/>
    </row>
    <row r="9" s="1" customFormat="1" ht="21" customHeight="1" spans="1:7">
      <c r="A9" s="8" t="s">
        <v>17</v>
      </c>
      <c r="B9" s="9">
        <v>4000</v>
      </c>
      <c r="C9" s="8">
        <v>1</v>
      </c>
      <c r="D9" s="9">
        <f t="shared" si="0"/>
        <v>48000</v>
      </c>
      <c r="E9" s="9"/>
      <c r="F9" s="9">
        <v>16000</v>
      </c>
      <c r="G9" s="10" t="s">
        <v>18</v>
      </c>
    </row>
    <row r="10" s="1" customFormat="1" ht="21" customHeight="1" spans="1:7">
      <c r="A10" s="8" t="s">
        <v>20</v>
      </c>
      <c r="B10" s="9">
        <v>4000</v>
      </c>
      <c r="C10" s="8">
        <v>2</v>
      </c>
      <c r="D10" s="9">
        <f t="shared" si="0"/>
        <v>96000</v>
      </c>
      <c r="E10" s="9"/>
      <c r="F10" s="9">
        <v>32000</v>
      </c>
      <c r="G10" s="10" t="s">
        <v>18</v>
      </c>
    </row>
    <row r="11" s="1" customFormat="1" ht="21" customHeight="1" spans="1:7">
      <c r="A11" s="8" t="s">
        <v>22</v>
      </c>
      <c r="B11" s="9">
        <v>3000</v>
      </c>
      <c r="C11" s="8">
        <v>1</v>
      </c>
      <c r="D11" s="9">
        <f t="shared" si="0"/>
        <v>36000</v>
      </c>
      <c r="E11" s="9">
        <f>B11*C11*8</f>
        <v>24000</v>
      </c>
      <c r="F11" s="9">
        <f>B11*C11*4</f>
        <v>12000</v>
      </c>
      <c r="G11" s="10"/>
    </row>
    <row r="12" s="1" customFormat="1" ht="21" customHeight="1" spans="1:9">
      <c r="A12" s="12" t="s">
        <v>23</v>
      </c>
      <c r="B12" s="13"/>
      <c r="C12" s="8">
        <f>SUM(C4:C11)</f>
        <v>9</v>
      </c>
      <c r="D12" s="9">
        <f>SUM(D4:D11)</f>
        <v>438000</v>
      </c>
      <c r="E12" s="9">
        <f>SUM(E4:E11)</f>
        <v>160000</v>
      </c>
      <c r="F12" s="9">
        <f>SUM(F4:F11)</f>
        <v>128000</v>
      </c>
      <c r="G12" s="8"/>
      <c r="I12" s="1" t="s">
        <v>67</v>
      </c>
    </row>
    <row r="13" s="1" customFormat="1" ht="21" customHeight="1" spans="1:7">
      <c r="A13" s="26" t="s">
        <v>24</v>
      </c>
      <c r="B13" s="27"/>
      <c r="C13" s="27"/>
      <c r="D13" s="27"/>
      <c r="E13" s="28"/>
      <c r="F13" s="44"/>
      <c r="G13" s="44"/>
    </row>
    <row r="14" s="1" customFormat="1" ht="21" customHeight="1" spans="1:7">
      <c r="A14" s="14" t="s">
        <v>25</v>
      </c>
      <c r="B14" s="14" t="s">
        <v>26</v>
      </c>
      <c r="C14" s="14"/>
      <c r="D14" s="15" t="s">
        <v>5</v>
      </c>
      <c r="E14" s="7" t="s">
        <v>51</v>
      </c>
      <c r="F14" s="7" t="s">
        <v>65</v>
      </c>
      <c r="G14" s="14" t="s">
        <v>27</v>
      </c>
    </row>
    <row r="15" s="1" customFormat="1" ht="21" customHeight="1" spans="1:7">
      <c r="A15" s="42" t="s">
        <v>28</v>
      </c>
      <c r="B15" s="8" t="s">
        <v>68</v>
      </c>
      <c r="C15" s="8"/>
      <c r="D15" s="18">
        <f>1038.38*6*12</f>
        <v>74763.36</v>
      </c>
      <c r="E15" s="18">
        <f>912*5*8</f>
        <v>36480</v>
      </c>
      <c r="F15" s="18">
        <f>912*5*4</f>
        <v>18240</v>
      </c>
      <c r="G15" s="8"/>
    </row>
    <row r="16" s="1" customFormat="1" ht="21" customHeight="1" spans="1:7">
      <c r="A16" s="38"/>
      <c r="B16" s="8" t="s">
        <v>69</v>
      </c>
      <c r="C16" s="8"/>
      <c r="D16" s="18">
        <f>1038.38*3*12</f>
        <v>37381.68</v>
      </c>
      <c r="E16" s="18"/>
      <c r="F16" s="18">
        <f>912*3*4</f>
        <v>10944</v>
      </c>
      <c r="G16" s="8"/>
    </row>
    <row r="17" s="2" customFormat="1" ht="21" customHeight="1" spans="1:7">
      <c r="A17" s="8" t="s">
        <v>31</v>
      </c>
      <c r="B17" s="8"/>
      <c r="C17" s="8"/>
      <c r="D17" s="18">
        <f t="shared" ref="D17:F17" si="1">SUM(D15:D16)</f>
        <v>112145.04</v>
      </c>
      <c r="E17" s="18">
        <f t="shared" si="1"/>
        <v>36480</v>
      </c>
      <c r="F17" s="18">
        <f t="shared" si="1"/>
        <v>29184</v>
      </c>
      <c r="G17" s="8"/>
    </row>
    <row r="18" s="1" customFormat="1" ht="21" customHeight="1" spans="1:7">
      <c r="A18" s="8" t="s">
        <v>32</v>
      </c>
      <c r="B18" s="8"/>
      <c r="C18" s="8"/>
      <c r="D18" s="18">
        <f t="shared" ref="D18:F18" si="2">D17</f>
        <v>112145.04</v>
      </c>
      <c r="E18" s="18">
        <f t="shared" si="2"/>
        <v>36480</v>
      </c>
      <c r="F18" s="18">
        <f t="shared" si="2"/>
        <v>29184</v>
      </c>
      <c r="G18" s="8"/>
    </row>
    <row r="19" s="1" customFormat="1" customHeight="1" spans="1:7">
      <c r="A19" s="8" t="s">
        <v>33</v>
      </c>
      <c r="B19" s="12"/>
      <c r="C19" s="13"/>
      <c r="D19" s="18">
        <f>(D4+D5+D6+D7+D8+D11)*0.14</f>
        <v>41160</v>
      </c>
      <c r="E19" s="39"/>
      <c r="F19" s="18"/>
      <c r="G19" s="8"/>
    </row>
    <row r="20" s="1" customFormat="1" ht="21" customHeight="1" spans="1:7">
      <c r="A20" s="26" t="s">
        <v>34</v>
      </c>
      <c r="B20" s="27"/>
      <c r="C20" s="27"/>
      <c r="D20" s="27"/>
      <c r="E20" s="28"/>
      <c r="F20" s="44"/>
      <c r="G20" s="44"/>
    </row>
    <row r="21" s="1" customFormat="1" ht="21" hidden="1" customHeight="1" spans="1:7">
      <c r="A21" s="14" t="s">
        <v>25</v>
      </c>
      <c r="B21" s="14" t="s">
        <v>26</v>
      </c>
      <c r="C21" s="14"/>
      <c r="D21" s="15" t="s">
        <v>5</v>
      </c>
      <c r="E21" s="15"/>
      <c r="F21" s="15"/>
      <c r="G21" s="14" t="s">
        <v>36</v>
      </c>
    </row>
    <row r="22" s="1" customFormat="1" ht="21" customHeight="1" spans="1:7">
      <c r="A22" s="14" t="s">
        <v>25</v>
      </c>
      <c r="B22" s="14" t="s">
        <v>26</v>
      </c>
      <c r="C22" s="14"/>
      <c r="D22" s="15" t="s">
        <v>5</v>
      </c>
      <c r="E22" s="7" t="s">
        <v>54</v>
      </c>
      <c r="F22" s="15"/>
      <c r="G22" s="14" t="s">
        <v>36</v>
      </c>
    </row>
    <row r="23" s="1" customFormat="1" ht="21" customHeight="1" spans="1:7">
      <c r="A23" s="8" t="s">
        <v>37</v>
      </c>
      <c r="B23" s="8" t="s">
        <v>38</v>
      </c>
      <c r="C23" s="8"/>
      <c r="D23" s="9">
        <f>600*C12*1</f>
        <v>5400</v>
      </c>
      <c r="E23" s="9">
        <v>4800</v>
      </c>
      <c r="F23" s="9"/>
      <c r="G23" s="8" t="s">
        <v>39</v>
      </c>
    </row>
    <row r="24" s="1" customFormat="1" ht="21" customHeight="1" spans="1:7">
      <c r="A24" s="12" t="s">
        <v>40</v>
      </c>
      <c r="B24" s="20"/>
      <c r="C24" s="13"/>
      <c r="D24" s="9">
        <f>SUM(D23:D23)</f>
        <v>5400</v>
      </c>
      <c r="E24" s="9">
        <f>SUM(E23:E23)</f>
        <v>4800</v>
      </c>
      <c r="F24" s="9"/>
      <c r="G24" s="8"/>
    </row>
    <row r="25" s="1" customFormat="1" ht="21" hidden="1" customHeight="1" spans="1:7">
      <c r="A25" s="26"/>
      <c r="B25" s="27"/>
      <c r="C25" s="28"/>
      <c r="D25" s="18"/>
      <c r="E25" s="18"/>
      <c r="F25" s="18"/>
      <c r="G25" s="8"/>
    </row>
    <row r="26" s="1" customFormat="1" hidden="1" customHeight="1" spans="1:7">
      <c r="A26" s="26"/>
      <c r="B26" s="27"/>
      <c r="C26" s="28"/>
      <c r="D26" s="45"/>
      <c r="E26" s="45"/>
      <c r="F26" s="45"/>
      <c r="G26" s="8"/>
    </row>
    <row r="27" s="1" customFormat="1" customHeight="1" spans="1:7">
      <c r="A27" s="26" t="s">
        <v>41</v>
      </c>
      <c r="B27" s="27"/>
      <c r="C27" s="28"/>
      <c r="D27" s="18">
        <f>(D12+D18+D24+D19)*5%</f>
        <v>29835.252</v>
      </c>
      <c r="E27" s="18">
        <f t="shared" ref="D27:F27" si="3">(E12+E18+E24)*10%</f>
        <v>20128</v>
      </c>
      <c r="F27" s="18">
        <f t="shared" si="3"/>
        <v>15718.4</v>
      </c>
      <c r="G27" s="8"/>
    </row>
    <row r="28" s="1" customFormat="1" customHeight="1" spans="1:7">
      <c r="A28" s="26" t="s">
        <v>42</v>
      </c>
      <c r="B28" s="27"/>
      <c r="C28" s="28"/>
      <c r="D28" s="18">
        <f>(D12+D18+D24+D25+D27+D26+D19)*6%</f>
        <v>37592.41752</v>
      </c>
      <c r="E28" s="18">
        <f t="shared" ref="D28:F28" si="4">(E12+E18+E24+E25+E27+E26)*6%</f>
        <v>13284.48</v>
      </c>
      <c r="F28" s="18">
        <f t="shared" si="4"/>
        <v>10374.144</v>
      </c>
      <c r="G28" s="8"/>
    </row>
    <row r="29" s="1" customFormat="1" customHeight="1" spans="1:7">
      <c r="A29" s="26" t="s">
        <v>43</v>
      </c>
      <c r="B29" s="27"/>
      <c r="C29" s="28"/>
      <c r="D29" s="9">
        <f>D12+D18+D24+D25+D27+D28+D26+D19</f>
        <v>664132.70952</v>
      </c>
      <c r="E29" s="9">
        <f t="shared" ref="D29:F29" si="5">E12+E18+E24+E25+E27+E28+E26</f>
        <v>234692.48</v>
      </c>
      <c r="F29" s="9">
        <f t="shared" si="5"/>
        <v>183276.544</v>
      </c>
      <c r="G29" s="19"/>
    </row>
    <row r="30" customHeight="1" spans="4:4">
      <c r="D30" s="1">
        <v>625398.98</v>
      </c>
    </row>
    <row r="31" customHeight="1" spans="4:4">
      <c r="D31" s="1">
        <f>D29-D30</f>
        <v>38733.7295200001</v>
      </c>
    </row>
  </sheetData>
  <mergeCells count="18">
    <mergeCell ref="A2:E2"/>
    <mergeCell ref="A12:B12"/>
    <mergeCell ref="A13:E13"/>
    <mergeCell ref="B14:C14"/>
    <mergeCell ref="B15:C15"/>
    <mergeCell ref="B16:C16"/>
    <mergeCell ref="B17:C17"/>
    <mergeCell ref="A18:C18"/>
    <mergeCell ref="B19:C19"/>
    <mergeCell ref="A20:E20"/>
    <mergeCell ref="B21:C21"/>
    <mergeCell ref="B22:C22"/>
    <mergeCell ref="B23:C23"/>
    <mergeCell ref="A24:C24"/>
    <mergeCell ref="A25:C25"/>
    <mergeCell ref="A27:C27"/>
    <mergeCell ref="A29:C29"/>
    <mergeCell ref="A15:A16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zoomScale="130" zoomScaleNormal="130" topLeftCell="A17" workbookViewId="0">
      <selection activeCell="E30" sqref="E30"/>
    </sheetView>
  </sheetViews>
  <sheetFormatPr defaultColWidth="9" defaultRowHeight="18.9" customHeight="1" outlineLevelCol="6"/>
  <cols>
    <col min="1" max="1" width="19.1018518518519" style="1" customWidth="1"/>
    <col min="2" max="2" width="13.3981481481481" style="1" customWidth="1"/>
    <col min="3" max="3" width="12" style="1" customWidth="1"/>
    <col min="4" max="4" width="15.7037037037037" style="1" customWidth="1"/>
    <col min="5" max="5" width="18.8981481481481" style="1" customWidth="1"/>
    <col min="6" max="6" width="10.1018518518519" style="1" customWidth="1"/>
    <col min="7" max="7" width="10.3981481481481" style="1" customWidth="1"/>
    <col min="8" max="16384" width="9" style="1"/>
  </cols>
  <sheetData>
    <row r="1" s="1" customFormat="1" customHeight="1" spans="1:4">
      <c r="A1" s="4" t="s">
        <v>70</v>
      </c>
      <c r="B1" s="4"/>
      <c r="C1" s="4"/>
      <c r="D1" s="4"/>
    </row>
    <row r="2" s="1" customFormat="1" customHeight="1" spans="1:5">
      <c r="A2" s="5" t="s">
        <v>1</v>
      </c>
      <c r="B2" s="5"/>
      <c r="C2" s="5"/>
      <c r="D2" s="5"/>
      <c r="E2" s="5"/>
    </row>
    <row r="3" s="2" customFormat="1" customHeight="1" spans="1:5">
      <c r="A3" s="6" t="s">
        <v>2</v>
      </c>
      <c r="B3" s="6" t="s">
        <v>3</v>
      </c>
      <c r="C3" s="6" t="s">
        <v>4</v>
      </c>
      <c r="D3" s="7" t="s">
        <v>5</v>
      </c>
      <c r="E3" s="6" t="s">
        <v>8</v>
      </c>
    </row>
    <row r="4" s="1" customFormat="1" customHeight="1" spans="1:5">
      <c r="A4" s="8" t="s">
        <v>9</v>
      </c>
      <c r="B4" s="9">
        <v>6500</v>
      </c>
      <c r="C4" s="8">
        <v>1</v>
      </c>
      <c r="D4" s="9">
        <f t="shared" ref="D4:D14" si="0">B4*C4*12</f>
        <v>78000</v>
      </c>
      <c r="E4" s="10"/>
    </row>
    <row r="5" s="1" customFormat="1" customHeight="1" spans="1:5">
      <c r="A5" s="8" t="s">
        <v>10</v>
      </c>
      <c r="B5" s="9">
        <v>5500</v>
      </c>
      <c r="C5" s="8">
        <v>1</v>
      </c>
      <c r="D5" s="9">
        <f t="shared" si="0"/>
        <v>66000</v>
      </c>
      <c r="E5" s="10"/>
    </row>
    <row r="6" s="1" customFormat="1" customHeight="1" spans="1:5">
      <c r="A6" s="8" t="s">
        <v>12</v>
      </c>
      <c r="B6" s="9">
        <v>4500</v>
      </c>
      <c r="C6" s="8">
        <v>1</v>
      </c>
      <c r="D6" s="9">
        <f t="shared" si="0"/>
        <v>54000</v>
      </c>
      <c r="E6" s="10"/>
    </row>
    <row r="7" s="1" customFormat="1" customHeight="1" spans="1:7">
      <c r="A7" s="8" t="s">
        <v>13</v>
      </c>
      <c r="B7" s="9">
        <v>3500</v>
      </c>
      <c r="C7" s="8">
        <v>1</v>
      </c>
      <c r="D7" s="9">
        <f t="shared" si="0"/>
        <v>42000</v>
      </c>
      <c r="E7" s="10"/>
      <c r="G7" s="11"/>
    </row>
    <row r="8" s="1" customFormat="1" customHeight="1" spans="1:5">
      <c r="A8" s="8" t="s">
        <v>15</v>
      </c>
      <c r="B8" s="9">
        <v>4000</v>
      </c>
      <c r="C8" s="8">
        <v>1</v>
      </c>
      <c r="D8" s="9">
        <f t="shared" si="0"/>
        <v>48000</v>
      </c>
      <c r="E8" s="10"/>
    </row>
    <row r="9" s="1" customFormat="1" customHeight="1" spans="1:7">
      <c r="A9" s="8" t="s">
        <v>16</v>
      </c>
      <c r="B9" s="9">
        <v>3000</v>
      </c>
      <c r="C9" s="8">
        <v>1</v>
      </c>
      <c r="D9" s="9">
        <f t="shared" si="0"/>
        <v>36000</v>
      </c>
      <c r="E9" s="10"/>
      <c r="G9" s="11"/>
    </row>
    <row r="10" s="1" customFormat="1" customHeight="1" spans="1:7">
      <c r="A10" s="8" t="s">
        <v>21</v>
      </c>
      <c r="B10" s="9">
        <v>4000</v>
      </c>
      <c r="C10" s="8">
        <v>1</v>
      </c>
      <c r="D10" s="9">
        <f t="shared" si="0"/>
        <v>48000</v>
      </c>
      <c r="E10" s="10"/>
      <c r="G10" s="11"/>
    </row>
    <row r="11" s="1" customFormat="1" customHeight="1" spans="1:7">
      <c r="A11" s="8" t="s">
        <v>22</v>
      </c>
      <c r="B11" s="9">
        <v>3000</v>
      </c>
      <c r="C11" s="8">
        <v>2</v>
      </c>
      <c r="D11" s="9">
        <f t="shared" si="0"/>
        <v>72000</v>
      </c>
      <c r="E11" s="10"/>
      <c r="G11" s="11"/>
    </row>
    <row r="12" s="1" customFormat="1" customHeight="1" spans="1:7">
      <c r="A12" s="8" t="s">
        <v>71</v>
      </c>
      <c r="B12" s="9">
        <v>4500</v>
      </c>
      <c r="C12" s="8">
        <v>1</v>
      </c>
      <c r="D12" s="9">
        <f t="shared" si="0"/>
        <v>54000</v>
      </c>
      <c r="E12" s="10"/>
      <c r="G12" s="11"/>
    </row>
    <row r="13" s="1" customFormat="1" customHeight="1" spans="1:7">
      <c r="A13" s="8" t="s">
        <v>72</v>
      </c>
      <c r="B13" s="9">
        <v>4000</v>
      </c>
      <c r="C13" s="8">
        <v>1</v>
      </c>
      <c r="D13" s="9">
        <f t="shared" si="0"/>
        <v>48000</v>
      </c>
      <c r="E13" s="10"/>
      <c r="G13" s="11"/>
    </row>
    <row r="14" s="1" customFormat="1" customHeight="1" spans="1:7">
      <c r="A14" s="8" t="s">
        <v>73</v>
      </c>
      <c r="B14" s="9">
        <v>4000</v>
      </c>
      <c r="C14" s="8">
        <v>2</v>
      </c>
      <c r="D14" s="9">
        <f t="shared" si="0"/>
        <v>96000</v>
      </c>
      <c r="E14" s="10"/>
      <c r="G14" s="11"/>
    </row>
    <row r="15" s="1" customFormat="1" customHeight="1" spans="1:7">
      <c r="A15" s="12" t="s">
        <v>23</v>
      </c>
      <c r="B15" s="13"/>
      <c r="C15" s="8">
        <f>SUM(C4:C14)</f>
        <v>13</v>
      </c>
      <c r="D15" s="8">
        <f>SUM(D4:D14)</f>
        <v>642000</v>
      </c>
      <c r="E15" s="8"/>
      <c r="G15" s="11"/>
    </row>
    <row r="16" s="1" customFormat="1" customHeight="1" spans="1:5">
      <c r="A16" s="5" t="s">
        <v>24</v>
      </c>
      <c r="B16" s="5"/>
      <c r="C16" s="5"/>
      <c r="D16" s="5"/>
      <c r="E16" s="5"/>
    </row>
    <row r="17" s="2" customFormat="1" customHeight="1" spans="1:7">
      <c r="A17" s="14" t="s">
        <v>25</v>
      </c>
      <c r="B17" s="14" t="s">
        <v>26</v>
      </c>
      <c r="C17" s="14"/>
      <c r="D17" s="15" t="s">
        <v>5</v>
      </c>
      <c r="E17" s="14" t="s">
        <v>27</v>
      </c>
      <c r="G17" s="41"/>
    </row>
    <row r="18" s="1" customFormat="1" customHeight="1" spans="1:5">
      <c r="A18" s="42" t="s">
        <v>28</v>
      </c>
      <c r="B18" s="8" t="s">
        <v>74</v>
      </c>
      <c r="C18" s="8"/>
      <c r="D18" s="18">
        <f>1038.38*13*12</f>
        <v>161987.28</v>
      </c>
      <c r="E18" s="42"/>
    </row>
    <row r="19" s="1" customFormat="1" customHeight="1" spans="1:5">
      <c r="A19" s="8" t="s">
        <v>31</v>
      </c>
      <c r="B19" s="12"/>
      <c r="C19" s="13"/>
      <c r="D19" s="16">
        <f>SUM(D18:D18)</f>
        <v>161987.28</v>
      </c>
      <c r="E19" s="17"/>
    </row>
    <row r="20" s="1" customFormat="1" customHeight="1" spans="1:5">
      <c r="A20" s="8" t="s">
        <v>32</v>
      </c>
      <c r="B20" s="8"/>
      <c r="C20" s="8"/>
      <c r="D20" s="18">
        <f>D19</f>
        <v>161987.28</v>
      </c>
      <c r="E20" s="8"/>
    </row>
    <row r="21" s="1" customFormat="1" customHeight="1" spans="1:7">
      <c r="A21" s="8" t="s">
        <v>33</v>
      </c>
      <c r="B21" s="12"/>
      <c r="C21" s="13"/>
      <c r="D21" s="18">
        <f>(D4+D5+D6+D7+D8+D9+D10+D11+D12)*0.14</f>
        <v>69720</v>
      </c>
      <c r="E21" s="39"/>
      <c r="F21" s="18"/>
      <c r="G21" s="8"/>
    </row>
    <row r="22" s="1" customFormat="1" customHeight="1" spans="1:5">
      <c r="A22" s="5" t="s">
        <v>34</v>
      </c>
      <c r="B22" s="5"/>
      <c r="C22" s="5"/>
      <c r="D22" s="5"/>
      <c r="E22" s="5"/>
    </row>
    <row r="23" s="2" customFormat="1" customHeight="1" spans="1:5">
      <c r="A23" s="14" t="s">
        <v>25</v>
      </c>
      <c r="B23" s="14" t="s">
        <v>26</v>
      </c>
      <c r="C23" s="14"/>
      <c r="D23" s="15" t="s">
        <v>5</v>
      </c>
      <c r="E23" s="14" t="s">
        <v>36</v>
      </c>
    </row>
    <row r="24" s="1" customFormat="1" customHeight="1" spans="1:5">
      <c r="A24" s="8" t="s">
        <v>37</v>
      </c>
      <c r="B24" s="8" t="s">
        <v>38</v>
      </c>
      <c r="C24" s="8"/>
      <c r="D24" s="9">
        <f>600*13*1</f>
        <v>7800</v>
      </c>
      <c r="E24" s="8" t="s">
        <v>39</v>
      </c>
    </row>
    <row r="25" s="1" customFormat="1" customHeight="1" spans="1:5">
      <c r="A25" s="12" t="s">
        <v>40</v>
      </c>
      <c r="B25" s="20"/>
      <c r="C25" s="13"/>
      <c r="D25" s="9">
        <f>SUM(D24:D24)</f>
        <v>7800</v>
      </c>
      <c r="E25" s="8"/>
    </row>
    <row r="26" s="1" customFormat="1" ht="24" customHeight="1" spans="1:5">
      <c r="A26" s="26"/>
      <c r="B26" s="27"/>
      <c r="C26" s="28"/>
      <c r="D26" s="9"/>
      <c r="E26" s="8"/>
    </row>
    <row r="27" s="1" customFormat="1" customHeight="1" spans="1:5">
      <c r="A27" s="26" t="s">
        <v>41</v>
      </c>
      <c r="B27" s="27"/>
      <c r="C27" s="28"/>
      <c r="D27" s="18">
        <f>(D15+D20+D25+D21)*5%</f>
        <v>44075.364</v>
      </c>
      <c r="E27" s="8"/>
    </row>
    <row r="28" s="1" customFormat="1" customHeight="1" spans="1:5">
      <c r="A28" s="26" t="s">
        <v>42</v>
      </c>
      <c r="B28" s="27"/>
      <c r="C28" s="28"/>
      <c r="D28" s="18">
        <f>(D15+D20+D25+D26+D27+D21)*6%</f>
        <v>55534.95864</v>
      </c>
      <c r="E28" s="8"/>
    </row>
    <row r="29" s="1" customFormat="1" customHeight="1" spans="1:5">
      <c r="A29" s="26" t="s">
        <v>43</v>
      </c>
      <c r="B29" s="27"/>
      <c r="C29" s="28"/>
      <c r="D29" s="9">
        <f>D15+D20+D25+D26+D27+D28+D21</f>
        <v>981117.60264</v>
      </c>
      <c r="E29" s="19"/>
    </row>
    <row r="30" customHeight="1" spans="4:4">
      <c r="D30" s="1">
        <v>914098.04</v>
      </c>
    </row>
    <row r="31" customHeight="1" spans="4:4">
      <c r="D31" s="1">
        <f>D29-D30</f>
        <v>67019.56264</v>
      </c>
    </row>
    <row r="33" s="1" customFormat="1" customHeight="1" spans="4:4">
      <c r="D33" s="11"/>
    </row>
    <row r="34" s="1" customFormat="1" customHeight="1" spans="4:4">
      <c r="D34" s="11"/>
    </row>
  </sheetData>
  <mergeCells count="16">
    <mergeCell ref="A1:D1"/>
    <mergeCell ref="A2:E2"/>
    <mergeCell ref="A15:B15"/>
    <mergeCell ref="A16:E16"/>
    <mergeCell ref="B17:C17"/>
    <mergeCell ref="B18:C18"/>
    <mergeCell ref="B19:C19"/>
    <mergeCell ref="A20:C20"/>
    <mergeCell ref="B21:C21"/>
    <mergeCell ref="A22:E22"/>
    <mergeCell ref="B23:C23"/>
    <mergeCell ref="B24:C24"/>
    <mergeCell ref="A25:C25"/>
    <mergeCell ref="A26:C26"/>
    <mergeCell ref="A27:C27"/>
    <mergeCell ref="A29:C29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zoomScale="115" zoomScaleNormal="115" topLeftCell="A15" workbookViewId="0">
      <selection activeCell="D15" sqref="D15"/>
    </sheetView>
  </sheetViews>
  <sheetFormatPr defaultColWidth="9" defaultRowHeight="17.4" outlineLevelCol="6"/>
  <cols>
    <col min="1" max="1" width="14.7037037037037" style="32" customWidth="1"/>
    <col min="2" max="2" width="13.6018518518519" style="32" customWidth="1"/>
    <col min="3" max="3" width="12.6018518518519" style="32" customWidth="1"/>
    <col min="4" max="4" width="17.1018518518519" style="33" customWidth="1"/>
    <col min="5" max="5" width="20.8981481481481" style="32" customWidth="1"/>
    <col min="6" max="6" width="9" style="1"/>
    <col min="7" max="7" width="16.1018518518519" style="1"/>
    <col min="8" max="32" width="9" style="1"/>
    <col min="33" max="256" width="8.7962962962963" style="1"/>
    <col min="257" max="16384" width="9" style="1"/>
  </cols>
  <sheetData>
    <row r="1" s="29" customFormat="1" ht="18.9" customHeight="1" spans="1:5">
      <c r="A1" s="34" t="s">
        <v>75</v>
      </c>
      <c r="B1" s="34"/>
      <c r="C1" s="34"/>
      <c r="D1" s="34"/>
      <c r="E1" s="34"/>
    </row>
    <row r="2" s="30" customFormat="1" ht="18.9" customHeight="1" spans="1:5">
      <c r="A2" s="5" t="s">
        <v>1</v>
      </c>
      <c r="B2" s="5"/>
      <c r="C2" s="5"/>
      <c r="D2" s="5"/>
      <c r="E2" s="5"/>
    </row>
    <row r="3" s="30" customFormat="1" ht="18.9" customHeight="1" spans="1:5">
      <c r="A3" s="14" t="s">
        <v>2</v>
      </c>
      <c r="B3" s="14" t="s">
        <v>3</v>
      </c>
      <c r="C3" s="14" t="s">
        <v>4</v>
      </c>
      <c r="D3" s="15" t="s">
        <v>5</v>
      </c>
      <c r="E3" s="14" t="s">
        <v>8</v>
      </c>
    </row>
    <row r="4" s="30" customFormat="1" ht="18.9" customHeight="1" spans="1:7">
      <c r="A4" s="8" t="s">
        <v>9</v>
      </c>
      <c r="B4" s="9">
        <v>6500</v>
      </c>
      <c r="C4" s="8">
        <v>1</v>
      </c>
      <c r="D4" s="9">
        <f t="shared" ref="D4:D14" si="0">B4*C4*12</f>
        <v>78000</v>
      </c>
      <c r="E4" s="10"/>
      <c r="G4" s="35"/>
    </row>
    <row r="5" s="30" customFormat="1" ht="18.9" customHeight="1" spans="1:7">
      <c r="A5" s="8" t="s">
        <v>10</v>
      </c>
      <c r="B5" s="9">
        <v>4000</v>
      </c>
      <c r="C5" s="8">
        <v>1</v>
      </c>
      <c r="D5" s="9">
        <f t="shared" si="0"/>
        <v>48000</v>
      </c>
      <c r="E5" s="10"/>
      <c r="G5" s="35"/>
    </row>
    <row r="6" s="30" customFormat="1" ht="18.9" customHeight="1" spans="1:5">
      <c r="A6" s="8" t="s">
        <v>12</v>
      </c>
      <c r="B6" s="9">
        <v>3500</v>
      </c>
      <c r="C6" s="8">
        <v>1</v>
      </c>
      <c r="D6" s="9">
        <f t="shared" si="0"/>
        <v>42000</v>
      </c>
      <c r="E6" s="10"/>
    </row>
    <row r="7" s="30" customFormat="1" ht="18.9" customHeight="1" spans="1:5">
      <c r="A7" s="8" t="s">
        <v>13</v>
      </c>
      <c r="B7" s="9">
        <v>3500</v>
      </c>
      <c r="C7" s="8">
        <v>1</v>
      </c>
      <c r="D7" s="9">
        <f t="shared" si="0"/>
        <v>42000</v>
      </c>
      <c r="E7" s="10"/>
    </row>
    <row r="8" s="30" customFormat="1" ht="18.9" customHeight="1" spans="1:5">
      <c r="A8" s="8" t="s">
        <v>15</v>
      </c>
      <c r="B8" s="9">
        <v>4000</v>
      </c>
      <c r="C8" s="8">
        <v>1</v>
      </c>
      <c r="D8" s="9">
        <f t="shared" si="0"/>
        <v>48000</v>
      </c>
      <c r="E8" s="10"/>
    </row>
    <row r="9" s="30" customFormat="1" ht="18.9" customHeight="1" spans="1:5">
      <c r="A9" s="8" t="s">
        <v>16</v>
      </c>
      <c r="B9" s="9">
        <v>3000</v>
      </c>
      <c r="C9" s="8">
        <v>1</v>
      </c>
      <c r="D9" s="9">
        <f t="shared" si="0"/>
        <v>36000</v>
      </c>
      <c r="E9" s="10"/>
    </row>
    <row r="10" s="30" customFormat="1" ht="18.9" customHeight="1" spans="1:5">
      <c r="A10" s="8" t="s">
        <v>21</v>
      </c>
      <c r="B10" s="9">
        <v>4000</v>
      </c>
      <c r="C10" s="8">
        <v>1</v>
      </c>
      <c r="D10" s="9">
        <f t="shared" si="0"/>
        <v>48000</v>
      </c>
      <c r="E10" s="10"/>
    </row>
    <row r="11" s="30" customFormat="1" ht="18.9" customHeight="1" spans="1:7">
      <c r="A11" s="8" t="s">
        <v>22</v>
      </c>
      <c r="B11" s="9">
        <v>3000</v>
      </c>
      <c r="C11" s="8">
        <v>1</v>
      </c>
      <c r="D11" s="9">
        <f t="shared" si="0"/>
        <v>36000</v>
      </c>
      <c r="E11" s="10"/>
      <c r="G11" s="36"/>
    </row>
    <row r="12" s="1" customFormat="1" ht="18.9" customHeight="1" spans="1:5">
      <c r="A12" s="8" t="s">
        <v>71</v>
      </c>
      <c r="B12" s="9">
        <v>4500</v>
      </c>
      <c r="C12" s="8">
        <v>1</v>
      </c>
      <c r="D12" s="9">
        <f t="shared" si="0"/>
        <v>54000</v>
      </c>
      <c r="E12" s="10"/>
    </row>
    <row r="13" s="1" customFormat="1" ht="18.9" customHeight="1" spans="1:5">
      <c r="A13" s="8" t="s">
        <v>72</v>
      </c>
      <c r="B13" s="9">
        <v>4000</v>
      </c>
      <c r="C13" s="8">
        <v>1</v>
      </c>
      <c r="D13" s="9">
        <f t="shared" si="0"/>
        <v>48000</v>
      </c>
      <c r="E13" s="10"/>
    </row>
    <row r="14" s="1" customFormat="1" ht="18.9" customHeight="1" spans="1:5">
      <c r="A14" s="8" t="s">
        <v>73</v>
      </c>
      <c r="B14" s="9">
        <v>4000</v>
      </c>
      <c r="C14" s="8">
        <v>2</v>
      </c>
      <c r="D14" s="9">
        <f t="shared" si="0"/>
        <v>96000</v>
      </c>
      <c r="E14" s="10"/>
    </row>
    <row r="15" s="30" customFormat="1" ht="18.9" customHeight="1" spans="1:5">
      <c r="A15" s="12" t="s">
        <v>23</v>
      </c>
      <c r="B15" s="13"/>
      <c r="C15" s="37">
        <f>SUM(C4:C14)</f>
        <v>12</v>
      </c>
      <c r="D15" s="9">
        <f>SUM(D4:D14)</f>
        <v>576000</v>
      </c>
      <c r="E15" s="8"/>
    </row>
    <row r="16" s="31" customFormat="1" ht="18.9" customHeight="1" spans="1:5">
      <c r="A16" s="5" t="s">
        <v>76</v>
      </c>
      <c r="B16" s="5"/>
      <c r="C16" s="5"/>
      <c r="D16" s="5"/>
      <c r="E16" s="5"/>
    </row>
    <row r="17" s="30" customFormat="1" ht="18.9" customHeight="1" spans="1:5">
      <c r="A17" s="14" t="s">
        <v>25</v>
      </c>
      <c r="B17" s="14" t="s">
        <v>26</v>
      </c>
      <c r="C17" s="14"/>
      <c r="D17" s="15" t="s">
        <v>5</v>
      </c>
      <c r="E17" s="14" t="s">
        <v>27</v>
      </c>
    </row>
    <row r="18" s="1" customFormat="1" ht="18.9" customHeight="1" spans="1:5">
      <c r="A18" s="8" t="s">
        <v>28</v>
      </c>
      <c r="B18" s="8" t="s">
        <v>77</v>
      </c>
      <c r="C18" s="8"/>
      <c r="D18" s="16">
        <f>1038.38*12*12</f>
        <v>149526.72</v>
      </c>
      <c r="E18" s="38"/>
    </row>
    <row r="19" s="1" customFormat="1" ht="18.9" customHeight="1" spans="1:5">
      <c r="A19" s="17" t="s">
        <v>31</v>
      </c>
      <c r="B19" s="12"/>
      <c r="C19" s="13"/>
      <c r="D19" s="16">
        <f>SUM(D18:D18)</f>
        <v>149526.72</v>
      </c>
      <c r="E19" s="17"/>
    </row>
    <row r="20" s="1" customFormat="1" ht="18.9" customHeight="1" spans="1:5">
      <c r="A20" s="8" t="s">
        <v>32</v>
      </c>
      <c r="B20" s="8"/>
      <c r="C20" s="8"/>
      <c r="D20" s="9">
        <f>D19</f>
        <v>149526.72</v>
      </c>
      <c r="E20" s="8"/>
    </row>
    <row r="21" s="1" customFormat="1" ht="18.9" customHeight="1" spans="1:7">
      <c r="A21" s="8" t="s">
        <v>33</v>
      </c>
      <c r="B21" s="12" t="s">
        <v>78</v>
      </c>
      <c r="C21" s="13"/>
      <c r="D21" s="18">
        <f>(D4+D5+D6+D7+D8+D9+D10+D11+D12)*0.14</f>
        <v>60480</v>
      </c>
      <c r="E21" s="39"/>
      <c r="F21" s="18"/>
      <c r="G21" s="8"/>
    </row>
    <row r="22" s="1" customFormat="1" ht="18.9" customHeight="1" spans="1:5">
      <c r="A22" s="5" t="s">
        <v>34</v>
      </c>
      <c r="B22" s="5"/>
      <c r="C22" s="5"/>
      <c r="D22" s="5"/>
      <c r="E22" s="5"/>
    </row>
    <row r="23" s="30" customFormat="1" ht="18.9" customHeight="1" spans="1:5">
      <c r="A23" s="14" t="s">
        <v>25</v>
      </c>
      <c r="B23" s="14" t="s">
        <v>26</v>
      </c>
      <c r="C23" s="14"/>
      <c r="D23" s="15" t="s">
        <v>5</v>
      </c>
      <c r="E23" s="14" t="s">
        <v>36</v>
      </c>
    </row>
    <row r="24" s="30" customFormat="1" ht="18.9" customHeight="1" spans="1:5">
      <c r="A24" s="8" t="s">
        <v>37</v>
      </c>
      <c r="B24" s="8" t="s">
        <v>38</v>
      </c>
      <c r="C24" s="8"/>
      <c r="D24" s="9">
        <f>600*12*1</f>
        <v>7200</v>
      </c>
      <c r="E24" s="8"/>
    </row>
    <row r="25" s="30" customFormat="1" ht="18.9" customHeight="1" spans="1:5">
      <c r="A25" s="12" t="s">
        <v>40</v>
      </c>
      <c r="B25" s="20"/>
      <c r="C25" s="13"/>
      <c r="D25" s="9">
        <f>SUM(D24:D24)</f>
        <v>7200</v>
      </c>
      <c r="E25" s="8"/>
    </row>
    <row r="26" s="1" customFormat="1" ht="11" customHeight="1" spans="1:5">
      <c r="A26" s="26"/>
      <c r="B26" s="27"/>
      <c r="C26" s="28"/>
      <c r="D26" s="18">
        <v>0</v>
      </c>
      <c r="E26" s="8"/>
    </row>
    <row r="27" s="1" customFormat="1" ht="15.6" spans="1:5">
      <c r="A27" s="26" t="s">
        <v>79</v>
      </c>
      <c r="B27" s="27"/>
      <c r="C27" s="28"/>
      <c r="D27" s="18">
        <f>(D15+D20+D25+D21)*5%</f>
        <v>39660.336</v>
      </c>
      <c r="E27" s="8"/>
    </row>
    <row r="28" s="1" customFormat="1" ht="15.6" spans="1:5">
      <c r="A28" s="26" t="s">
        <v>42</v>
      </c>
      <c r="B28" s="27"/>
      <c r="C28" s="28"/>
      <c r="D28" s="18">
        <f>(D15+D20+D25+D26+D27+D21)*6%</f>
        <v>49972.02336</v>
      </c>
      <c r="E28" s="8"/>
    </row>
    <row r="29" s="1" customFormat="1" ht="15.6" spans="1:5">
      <c r="A29" s="26" t="s">
        <v>43</v>
      </c>
      <c r="B29" s="27"/>
      <c r="C29" s="28"/>
      <c r="D29" s="9">
        <f>D15+D20+D25+D26+D27+D28+D21</f>
        <v>882839.07936</v>
      </c>
      <c r="E29" s="19"/>
    </row>
    <row r="30" s="1" customFormat="1" spans="1:5">
      <c r="A30" s="32"/>
      <c r="B30" s="32"/>
      <c r="C30" s="32"/>
      <c r="D30" s="33">
        <v>824506.92</v>
      </c>
      <c r="E30" s="32"/>
    </row>
    <row r="31" s="1" customFormat="1" spans="1:5">
      <c r="A31" s="40">
        <f>D29-D30</f>
        <v>58332.1593599999</v>
      </c>
      <c r="B31" s="40"/>
      <c r="C31" s="40"/>
      <c r="D31" s="40"/>
      <c r="E31" s="40"/>
    </row>
  </sheetData>
  <mergeCells count="16">
    <mergeCell ref="A1:E1"/>
    <mergeCell ref="A2:E2"/>
    <mergeCell ref="A15:B15"/>
    <mergeCell ref="A16:E16"/>
    <mergeCell ref="B17:C17"/>
    <mergeCell ref="B18:C18"/>
    <mergeCell ref="B19:C19"/>
    <mergeCell ref="A20:C20"/>
    <mergeCell ref="B21:C21"/>
    <mergeCell ref="A22:E22"/>
    <mergeCell ref="B23:C23"/>
    <mergeCell ref="B24:C24"/>
    <mergeCell ref="A25:C25"/>
    <mergeCell ref="A26:C26"/>
    <mergeCell ref="A27:C27"/>
    <mergeCell ref="A29:C29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zoomScale="130" zoomScaleNormal="130" topLeftCell="A16" workbookViewId="0">
      <selection activeCell="D22" sqref="D22"/>
    </sheetView>
  </sheetViews>
  <sheetFormatPr defaultColWidth="9" defaultRowHeight="18.9" customHeight="1" outlineLevelCol="6"/>
  <cols>
    <col min="1" max="1" width="19.1018518518519" style="1" customWidth="1"/>
    <col min="2" max="2" width="13.3981481481481" style="1" customWidth="1"/>
    <col min="3" max="3" width="12" style="1" customWidth="1"/>
    <col min="4" max="4" width="15.7037037037037" style="1" customWidth="1"/>
    <col min="5" max="5" width="18.8981481481481" style="1" customWidth="1"/>
    <col min="6" max="6" width="9" style="1"/>
    <col min="7" max="7" width="11.6018518518519" style="1"/>
    <col min="8" max="16384" width="9" style="1"/>
  </cols>
  <sheetData>
    <row r="1" s="1" customFormat="1" customHeight="1" spans="1:4">
      <c r="A1" s="4" t="s">
        <v>80</v>
      </c>
      <c r="B1" s="4"/>
      <c r="C1" s="4"/>
      <c r="D1" s="4"/>
    </row>
    <row r="2" s="1" customFormat="1" customHeight="1" spans="1:5">
      <c r="A2" s="5" t="s">
        <v>1</v>
      </c>
      <c r="B2" s="5"/>
      <c r="C2" s="5"/>
      <c r="D2" s="5"/>
      <c r="E2" s="5"/>
    </row>
    <row r="3" s="2" customFormat="1" customHeight="1" spans="1:5">
      <c r="A3" s="6" t="s">
        <v>2</v>
      </c>
      <c r="B3" s="6" t="s">
        <v>3</v>
      </c>
      <c r="C3" s="6" t="s">
        <v>4</v>
      </c>
      <c r="D3" s="7" t="s">
        <v>5</v>
      </c>
      <c r="E3" s="6" t="s">
        <v>8</v>
      </c>
    </row>
    <row r="4" s="1" customFormat="1" customHeight="1" spans="1:5">
      <c r="A4" s="8" t="s">
        <v>9</v>
      </c>
      <c r="B4" s="9">
        <v>7000</v>
      </c>
      <c r="C4" s="8">
        <v>1</v>
      </c>
      <c r="D4" s="9">
        <f t="shared" ref="D4:D14" si="0">B4*C4*12</f>
        <v>84000</v>
      </c>
      <c r="E4" s="10"/>
    </row>
    <row r="5" s="1" customFormat="1" customHeight="1" spans="1:5">
      <c r="A5" s="8" t="s">
        <v>10</v>
      </c>
      <c r="B5" s="9">
        <v>5000</v>
      </c>
      <c r="C5" s="8">
        <v>1</v>
      </c>
      <c r="D5" s="9">
        <f t="shared" si="0"/>
        <v>60000</v>
      </c>
      <c r="E5" s="10"/>
    </row>
    <row r="6" s="1" customFormat="1" customHeight="1" spans="1:5">
      <c r="A6" s="8" t="s">
        <v>12</v>
      </c>
      <c r="B6" s="9">
        <v>3500</v>
      </c>
      <c r="C6" s="8">
        <v>1</v>
      </c>
      <c r="D6" s="9">
        <f t="shared" si="0"/>
        <v>42000</v>
      </c>
      <c r="E6" s="10"/>
    </row>
    <row r="7" s="1" customFormat="1" customHeight="1" spans="1:5">
      <c r="A7" s="8" t="s">
        <v>13</v>
      </c>
      <c r="B7" s="9">
        <v>3500</v>
      </c>
      <c r="C7" s="8">
        <v>1</v>
      </c>
      <c r="D7" s="9">
        <f t="shared" si="0"/>
        <v>42000</v>
      </c>
      <c r="E7" s="10"/>
    </row>
    <row r="8" s="1" customFormat="1" customHeight="1" spans="1:5">
      <c r="A8" s="8" t="s">
        <v>15</v>
      </c>
      <c r="B8" s="9">
        <v>4000</v>
      </c>
      <c r="C8" s="8">
        <v>1</v>
      </c>
      <c r="D8" s="9">
        <f t="shared" si="0"/>
        <v>48000</v>
      </c>
      <c r="E8" s="10"/>
    </row>
    <row r="9" s="1" customFormat="1" customHeight="1" spans="1:7">
      <c r="A9" s="8" t="s">
        <v>16</v>
      </c>
      <c r="B9" s="9">
        <v>3000</v>
      </c>
      <c r="C9" s="8">
        <v>1</v>
      </c>
      <c r="D9" s="9">
        <f t="shared" si="0"/>
        <v>36000</v>
      </c>
      <c r="E9" s="10"/>
      <c r="G9" s="11"/>
    </row>
    <row r="10" s="1" customFormat="1" customHeight="1" spans="1:7">
      <c r="A10" s="8" t="s">
        <v>21</v>
      </c>
      <c r="B10" s="9">
        <v>4000</v>
      </c>
      <c r="C10" s="8">
        <v>1</v>
      </c>
      <c r="D10" s="9">
        <f t="shared" si="0"/>
        <v>48000</v>
      </c>
      <c r="E10" s="10"/>
      <c r="G10" s="11"/>
    </row>
    <row r="11" s="1" customFormat="1" customHeight="1" spans="1:7">
      <c r="A11" s="8" t="s">
        <v>22</v>
      </c>
      <c r="B11" s="9">
        <v>3000</v>
      </c>
      <c r="C11" s="8">
        <v>1</v>
      </c>
      <c r="D11" s="9">
        <f t="shared" si="0"/>
        <v>36000</v>
      </c>
      <c r="E11" s="10"/>
      <c r="G11" s="11"/>
    </row>
    <row r="12" s="1" customFormat="1" customHeight="1" spans="1:5">
      <c r="A12" s="8" t="s">
        <v>71</v>
      </c>
      <c r="B12" s="9">
        <v>4500</v>
      </c>
      <c r="C12" s="8">
        <v>1</v>
      </c>
      <c r="D12" s="9">
        <f t="shared" si="0"/>
        <v>54000</v>
      </c>
      <c r="E12" s="10"/>
    </row>
    <row r="13" s="1" customFormat="1" customHeight="1" spans="1:5">
      <c r="A13" s="8" t="s">
        <v>72</v>
      </c>
      <c r="B13" s="9">
        <v>4000</v>
      </c>
      <c r="C13" s="8">
        <v>1</v>
      </c>
      <c r="D13" s="9">
        <f t="shared" si="0"/>
        <v>48000</v>
      </c>
      <c r="E13" s="10"/>
    </row>
    <row r="14" s="2" customFormat="1" customHeight="1" spans="1:5">
      <c r="A14" s="8" t="s">
        <v>73</v>
      </c>
      <c r="B14" s="9">
        <v>4000</v>
      </c>
      <c r="C14" s="8">
        <v>2</v>
      </c>
      <c r="D14" s="9">
        <f t="shared" si="0"/>
        <v>96000</v>
      </c>
      <c r="E14" s="10"/>
    </row>
    <row r="15" s="1" customFormat="1" customHeight="1" spans="1:5">
      <c r="A15" s="12" t="s">
        <v>23</v>
      </c>
      <c r="B15" s="13"/>
      <c r="C15" s="8">
        <f>SUM(C4:C14)</f>
        <v>12</v>
      </c>
      <c r="D15" s="8">
        <f>SUM(D4:D14)</f>
        <v>594000</v>
      </c>
      <c r="E15" s="8"/>
    </row>
    <row r="16" s="1" customFormat="1" customHeight="1" spans="1:5">
      <c r="A16" s="5" t="s">
        <v>76</v>
      </c>
      <c r="B16" s="5"/>
      <c r="C16" s="5"/>
      <c r="D16" s="5"/>
      <c r="E16" s="5"/>
    </row>
    <row r="17" s="2" customFormat="1" customHeight="1" spans="1:5">
      <c r="A17" s="14" t="s">
        <v>25</v>
      </c>
      <c r="B17" s="14" t="s">
        <v>26</v>
      </c>
      <c r="C17" s="14"/>
      <c r="D17" s="15" t="s">
        <v>5</v>
      </c>
      <c r="E17" s="14" t="s">
        <v>27</v>
      </c>
    </row>
    <row r="18" s="1" customFormat="1" customHeight="1" spans="1:5">
      <c r="A18" s="8" t="s">
        <v>28</v>
      </c>
      <c r="B18" s="8" t="s">
        <v>81</v>
      </c>
      <c r="C18" s="8"/>
      <c r="D18" s="16">
        <f>1038.38*12*12</f>
        <v>149526.72</v>
      </c>
      <c r="E18" s="17"/>
    </row>
    <row r="19" s="1" customFormat="1" customHeight="1" spans="1:5">
      <c r="A19" s="17" t="s">
        <v>31</v>
      </c>
      <c r="B19" s="12"/>
      <c r="C19" s="13"/>
      <c r="D19" s="16">
        <f>SUM(D18:D18)</f>
        <v>149526.72</v>
      </c>
      <c r="E19" s="5"/>
    </row>
    <row r="20" s="1" customFormat="1" customHeight="1" spans="1:5">
      <c r="A20" s="8" t="s">
        <v>32</v>
      </c>
      <c r="B20" s="8"/>
      <c r="C20" s="8"/>
      <c r="D20" s="18">
        <f>D19</f>
        <v>149526.72</v>
      </c>
      <c r="E20" s="19"/>
    </row>
    <row r="21" s="1" customFormat="1" customHeight="1" spans="1:5">
      <c r="A21" s="8" t="s">
        <v>33</v>
      </c>
      <c r="B21" s="12" t="s">
        <v>78</v>
      </c>
      <c r="C21" s="13"/>
      <c r="D21" s="18">
        <f>(D4+D5+D6+D7+D8+D9+D10+D11+D12)*0.14</f>
        <v>63000</v>
      </c>
      <c r="E21" s="19"/>
    </row>
    <row r="22" s="1" customFormat="1" customHeight="1" spans="1:5">
      <c r="A22" s="5" t="s">
        <v>34</v>
      </c>
      <c r="B22" s="5"/>
      <c r="C22" s="5"/>
      <c r="D22" s="5"/>
      <c r="E22" s="19"/>
    </row>
    <row r="23" s="3" customFormat="1" customHeight="1" spans="1:5">
      <c r="A23" s="14" t="s">
        <v>25</v>
      </c>
      <c r="B23" s="14" t="s">
        <v>26</v>
      </c>
      <c r="C23" s="14"/>
      <c r="D23" s="15" t="s">
        <v>5</v>
      </c>
      <c r="E23" s="14" t="s">
        <v>36</v>
      </c>
    </row>
    <row r="24" s="1" customFormat="1" customHeight="1" spans="1:5">
      <c r="A24" s="8" t="s">
        <v>37</v>
      </c>
      <c r="B24" s="8" t="s">
        <v>38</v>
      </c>
      <c r="C24" s="8"/>
      <c r="D24" s="9">
        <f>600*12*1</f>
        <v>7200</v>
      </c>
      <c r="E24" s="8"/>
    </row>
    <row r="25" s="1" customFormat="1" customHeight="1" spans="1:5">
      <c r="A25" s="12" t="s">
        <v>40</v>
      </c>
      <c r="B25" s="20"/>
      <c r="C25" s="13"/>
      <c r="D25" s="9">
        <f>SUM(D24:D24)</f>
        <v>7200</v>
      </c>
      <c r="E25" s="8"/>
    </row>
    <row r="26" s="1" customFormat="1" customHeight="1" spans="1:5">
      <c r="A26" s="21"/>
      <c r="B26" s="22"/>
      <c r="C26" s="23"/>
      <c r="D26" s="24"/>
      <c r="E26" s="25"/>
    </row>
    <row r="27" s="1" customFormat="1" customHeight="1" spans="1:5">
      <c r="A27" s="26" t="s">
        <v>79</v>
      </c>
      <c r="B27" s="27"/>
      <c r="C27" s="28"/>
      <c r="D27" s="9">
        <f>(D15+D20+D25+D21)*5%</f>
        <v>40686.336</v>
      </c>
      <c r="E27" s="8"/>
    </row>
    <row r="28" s="1" customFormat="1" customHeight="1" spans="1:5">
      <c r="A28" s="26" t="s">
        <v>42</v>
      </c>
      <c r="B28" s="27"/>
      <c r="C28" s="28"/>
      <c r="D28" s="9">
        <f>(D15+D20+D25+D26+D27+D21)*6%</f>
        <v>51264.78336</v>
      </c>
      <c r="E28" s="19"/>
    </row>
    <row r="29" s="1" customFormat="1" customHeight="1" spans="1:5">
      <c r="A29" s="26" t="s">
        <v>43</v>
      </c>
      <c r="B29" s="27"/>
      <c r="C29" s="28"/>
      <c r="D29" s="9">
        <f>D15+D20+D25+D26+D27+D28+D21</f>
        <v>905677.83936</v>
      </c>
      <c r="E29" s="19"/>
    </row>
    <row r="30" customHeight="1" spans="4:4">
      <c r="D30" s="1">
        <v>831471.12</v>
      </c>
    </row>
    <row r="31" customHeight="1" spans="4:4">
      <c r="D31" s="1">
        <f>D29-D30</f>
        <v>74206.71936</v>
      </c>
    </row>
  </sheetData>
  <mergeCells count="15">
    <mergeCell ref="A1:D1"/>
    <mergeCell ref="A2:E2"/>
    <mergeCell ref="A15:B15"/>
    <mergeCell ref="A16:E16"/>
    <mergeCell ref="B17:C17"/>
    <mergeCell ref="B18:C18"/>
    <mergeCell ref="B19:C19"/>
    <mergeCell ref="A20:C20"/>
    <mergeCell ref="B21:C21"/>
    <mergeCell ref="B23:C23"/>
    <mergeCell ref="B24:C24"/>
    <mergeCell ref="A25:C25"/>
    <mergeCell ref="A26:C26"/>
    <mergeCell ref="A27:C27"/>
    <mergeCell ref="A29:C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乌审旗</vt:lpstr>
      <vt:lpstr>鄂旗</vt:lpstr>
      <vt:lpstr>前旗</vt:lpstr>
      <vt:lpstr>杭锦旗</vt:lpstr>
      <vt:lpstr>棋盘井</vt:lpstr>
      <vt:lpstr>东供</vt:lpstr>
      <vt:lpstr>达旗</vt:lpstr>
      <vt:lpstr>伊旗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</cp:lastModifiedBy>
  <dcterms:created xsi:type="dcterms:W3CDTF">2021-11-11T05:22:00Z</dcterms:created>
  <dcterms:modified xsi:type="dcterms:W3CDTF">2023-11-22T07:15:56Z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AFD5C863F712499A97606A3712801135</vt:lpwstr>
  </property>
  <property fmtid="{D5CDD505-2E9C-101B-9397-08002B2CF9AE}" pid="3" name="KSOProductBuildVer">
    <vt:lpwstr>2052-12.1.0.15933</vt:lpwstr>
  </property>
</Properties>
</file>